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pinnacleart-my.sharepoint.com/personal/john_keefe_pinnaclereliability_com/Documents/RBMI Body of Knowledge/Rep Fluids/"/>
    </mc:Choice>
  </mc:AlternateContent>
  <xr:revisionPtr revIDLastSave="157" documentId="8_{6DCB4ED6-2E37-46D0-B09A-83362BEB33A3}" xr6:coauthVersionLast="47" xr6:coauthVersionMax="47" xr10:uidLastSave="{AC34BECE-7781-45C6-9DA6-BF7AA86CF326}"/>
  <bookViews>
    <workbookView xWindow="-108" yWindow="-108" windowWidth="23256" windowHeight="12456" xr2:uid="{00000000-000D-0000-FFFF-FFFF00000000}"/>
  </bookViews>
  <sheets>
    <sheet name="Blank w calcs" sheetId="8" r:id="rId1"/>
    <sheet name="Mixtures" sheetId="10" r:id="rId2"/>
    <sheet name="LFA &amp; LFB" sheetId="9" r:id="rId3"/>
    <sheet name="Lists" sheetId="2" r:id="rId4"/>
  </sheets>
  <definedNames>
    <definedName name="Buoy">Lists!$D$2:$D$3</definedName>
    <definedName name="EndPtBasis">Lists!$D$9:$D$15</definedName>
    <definedName name="Mixtures">Lists!$B$8:$B$9</definedName>
    <definedName name="PFFBasis">Lists!$D$5:$D$7</definedName>
    <definedName name="_xlnm.Print_Area" localSheetId="0">'Blank w calcs'!$A$1:$S$42</definedName>
    <definedName name="_xlnm.Print_Area" localSheetId="2">'LFA &amp; LFB'!$A$1:$J$27</definedName>
    <definedName name="type">Lists!$B$2:$B$5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9" i="8" l="1"/>
  <c r="K12" i="10"/>
  <c r="K20" i="10"/>
  <c r="M20" i="10" s="1"/>
  <c r="E28" i="10"/>
  <c r="E34" i="8"/>
  <c r="E33" i="8"/>
  <c r="K11" i="10"/>
  <c r="K16" i="10" s="1"/>
  <c r="M16" i="10" s="1"/>
  <c r="N25" i="10"/>
  <c r="M25" i="10"/>
  <c r="N16" i="10"/>
  <c r="H28" i="10"/>
  <c r="C35" i="8"/>
  <c r="E35" i="8" s="1"/>
  <c r="E27" i="8"/>
  <c r="P31" i="8"/>
  <c r="E23" i="8"/>
  <c r="E24" i="8"/>
  <c r="C28" i="8"/>
  <c r="E28" i="8" s="1"/>
  <c r="C30" i="8"/>
  <c r="E30" i="8" s="1"/>
  <c r="P39" i="8"/>
  <c r="P38" i="8"/>
  <c r="P37" i="8"/>
  <c r="P35" i="8"/>
  <c r="P24" i="8"/>
  <c r="P29" i="8"/>
  <c r="R29" i="8" s="1"/>
  <c r="C31" i="8"/>
  <c r="E31" i="8" s="1"/>
  <c r="E39" i="8"/>
  <c r="E38" i="8"/>
  <c r="E37" i="8"/>
  <c r="E32" i="8"/>
  <c r="E29" i="8"/>
  <c r="M26" i="8"/>
  <c r="E26" i="8"/>
  <c r="E25" i="8"/>
  <c r="F32" i="8"/>
  <c r="F23" i="8"/>
  <c r="H10" i="9"/>
  <c r="H12" i="9" s="1"/>
  <c r="H11" i="9"/>
  <c r="P26" i="8"/>
  <c r="P28" i="8"/>
  <c r="R28" i="8" s="1"/>
  <c r="M27" i="10"/>
  <c r="M26" i="10"/>
  <c r="K19" i="10" l="1"/>
  <c r="K27" i="10"/>
  <c r="K26" i="10"/>
  <c r="K22" i="10"/>
  <c r="M22" i="10" s="1"/>
  <c r="K21" i="10"/>
  <c r="L12" i="10" s="1"/>
  <c r="K18" i="10"/>
  <c r="M18" i="10" s="1"/>
  <c r="K10" i="10"/>
  <c r="K17" i="10"/>
  <c r="M17" i="10" s="1"/>
  <c r="M19" i="10"/>
  <c r="M21" i="10" l="1"/>
  <c r="K28" i="10"/>
  <c r="M28" i="10" s="1"/>
</calcChain>
</file>

<file path=xl/sharedStrings.xml><?xml version="1.0" encoding="utf-8"?>
<sst xmlns="http://schemas.openxmlformats.org/spreadsheetml/2006/main" count="346" uniqueCount="174">
  <si>
    <t>Fluid Name</t>
  </si>
  <si>
    <t>CAS Number</t>
  </si>
  <si>
    <t>Fluid Type</t>
  </si>
  <si>
    <t>Toxic</t>
  </si>
  <si>
    <t>Flammable</t>
  </si>
  <si>
    <t>Reactive</t>
  </si>
  <si>
    <t>Date Completed</t>
  </si>
  <si>
    <t>Molecular Weight</t>
  </si>
  <si>
    <t>Liquid Density</t>
  </si>
  <si>
    <t>lb/cu.ft.</t>
  </si>
  <si>
    <t>CP/CV</t>
  </si>
  <si>
    <t>Boiling Point</t>
  </si>
  <si>
    <t>Value</t>
  </si>
  <si>
    <t>Buoyancy</t>
  </si>
  <si>
    <t>Buoyant</t>
  </si>
  <si>
    <t>Dense</t>
  </si>
  <si>
    <t>PFF</t>
  </si>
  <si>
    <t>RMP Tables</t>
  </si>
  <si>
    <t>Not Flammable</t>
  </si>
  <si>
    <t>J/kg</t>
  </si>
  <si>
    <t>Calculated in sheet</t>
  </si>
  <si>
    <t>LFA</t>
  </si>
  <si>
    <t>HCF</t>
  </si>
  <si>
    <t>LFB</t>
  </si>
  <si>
    <t>RMP Value</t>
  </si>
  <si>
    <t>ERPG-2</t>
  </si>
  <si>
    <t>0.1*IDLH</t>
  </si>
  <si>
    <t>0.1*LC-LO</t>
  </si>
  <si>
    <t>0.01*LC-50</t>
  </si>
  <si>
    <t>Other (specify)</t>
  </si>
  <si>
    <t>Non-Toxic</t>
  </si>
  <si>
    <t>Flash Point</t>
  </si>
  <si>
    <t>AIT</t>
  </si>
  <si>
    <t>PigF</t>
  </si>
  <si>
    <t>Vapor Pressure</t>
  </si>
  <si>
    <t>mmHg</t>
  </si>
  <si>
    <t>Heat of Vaporization</t>
  </si>
  <si>
    <t>Cp</t>
  </si>
  <si>
    <t xml:space="preserve">cal/g = </t>
  </si>
  <si>
    <t>Inert</t>
  </si>
  <si>
    <t>Calculated</t>
  </si>
  <si>
    <t>Select From List</t>
  </si>
  <si>
    <t>From RMP document Appendix D</t>
  </si>
  <si>
    <t>Liquid Factors are used to estimate evaporation rates from liquid pools</t>
  </si>
  <si>
    <t>LFA - Liquid Factor Ambient (25C or 298K)</t>
  </si>
  <si>
    <t>LFA = 0.284 * (MW^(2/3)) * VP / (82.05 * 298)</t>
  </si>
  <si>
    <t>VP - vapor pressure at 25C in mm Hg</t>
  </si>
  <si>
    <t>MW = molecular weight</t>
  </si>
  <si>
    <t>LFB - Liquid Factor Boiling</t>
  </si>
  <si>
    <t>LFB = 0.284 * (MW^(2/3)) * 760 / (82.05 * BP)</t>
  </si>
  <si>
    <r>
      <t xml:space="preserve">BP = boiling point in </t>
    </r>
    <r>
      <rPr>
        <b/>
        <sz val="10"/>
        <color indexed="10"/>
        <rFont val="Arial"/>
        <family val="2"/>
      </rPr>
      <t>Kelvin</t>
    </r>
  </si>
  <si>
    <t>Density Factor</t>
  </si>
  <si>
    <t>DF = 1 / (d * 0.033)</t>
  </si>
  <si>
    <t>d = the density of the substance in pounds per cubic foot</t>
  </si>
  <si>
    <t>MW =</t>
  </si>
  <si>
    <t xml:space="preserve">VP = </t>
  </si>
  <si>
    <t>mm Hg</t>
  </si>
  <si>
    <t>BP =</t>
  </si>
  <si>
    <t>Fahrenheit</t>
  </si>
  <si>
    <t>Kelvin</t>
  </si>
  <si>
    <t>LFA =</t>
  </si>
  <si>
    <t>LFB =</t>
  </si>
  <si>
    <t>at 25C (77F)</t>
  </si>
  <si>
    <t>This relates the released quantity to a spill area for vapor release</t>
  </si>
  <si>
    <t>0.033 is the pool depth in feet  (=1 cm)</t>
  </si>
  <si>
    <t>Entered by</t>
  </si>
  <si>
    <t>unit</t>
  </si>
  <si>
    <t>value</t>
  </si>
  <si>
    <t>SAE</t>
  </si>
  <si>
    <t>Metric</t>
  </si>
  <si>
    <t>g/mol</t>
  </si>
  <si>
    <t>g/cm3</t>
  </si>
  <si>
    <t>source</t>
  </si>
  <si>
    <t>note</t>
  </si>
  <si>
    <t>-</t>
  </si>
  <si>
    <t>F</t>
  </si>
  <si>
    <t>T</t>
  </si>
  <si>
    <t>R</t>
  </si>
  <si>
    <t>X</t>
  </si>
  <si>
    <t>x</t>
  </si>
  <si>
    <t>(no initials)</t>
  </si>
  <si>
    <t>J/kg-K</t>
  </si>
  <si>
    <t>mg/l</t>
  </si>
  <si>
    <t>kJ/kg</t>
  </si>
  <si>
    <t>List a reference for the value you entered, e.g. http://cameochemicals.noaa.gov/chemical/3014, in the column 'source'.</t>
  </si>
  <si>
    <t>liquid heat capacity</t>
  </si>
  <si>
    <t>Green cells are calculated in the spreadsheet.</t>
  </si>
  <si>
    <t>Enter fluid parameters in SAE column. Fluid parameters in Metric column will be copied/converted automatically.</t>
  </si>
  <si>
    <t>Select the appropriate option from a drop down menu.</t>
  </si>
  <si>
    <t>To the right of the table, there are a number of helpful equations to convert fluid parameters, like endpoint from ppm to mg/l.</t>
  </si>
  <si>
    <t>Company / Client:</t>
  </si>
  <si>
    <t>Endpoint</t>
  </si>
  <si>
    <t xml:space="preserve">To calculate the PFF, amongst other, the HCF, Heat of Vaporization and Cp is used. The units for Joule are different, but this is corrected in the equation for PFF. </t>
  </si>
  <si>
    <t>lbs/ft3</t>
  </si>
  <si>
    <t>Temperature</t>
  </si>
  <si>
    <t>Heat</t>
  </si>
  <si>
    <t>g/cm3 =</t>
  </si>
  <si>
    <t>ºC =</t>
  </si>
  <si>
    <t>BTU/lbs∙F=</t>
  </si>
  <si>
    <t>J/kg =</t>
  </si>
  <si>
    <t xml:space="preserve">J/kg∙K = </t>
  </si>
  <si>
    <t>kJ/kg∙K</t>
  </si>
  <si>
    <t>ppm =</t>
  </si>
  <si>
    <t>Liquid Density (g/cm3=g/ml)</t>
  </si>
  <si>
    <t>°C</t>
  </si>
  <si>
    <t>Save file as: &lt;fluid name&gt;-&lt;client name&gt;.xls</t>
  </si>
  <si>
    <t>In case of a mixture, determine carrier and name fluid as &lt;fluid&gt;-&lt;X%&gt;in&lt;carrier&gt; e.g. NaOH-4%inH2O</t>
  </si>
  <si>
    <t>Vapor pressure</t>
  </si>
  <si>
    <t>lbf/in^2 =</t>
  </si>
  <si>
    <t>kPa =</t>
  </si>
  <si>
    <t>hPa =</t>
  </si>
  <si>
    <t>PFF set to 0.564 for "Reactive" materials</t>
  </si>
  <si>
    <t>mbar</t>
  </si>
  <si>
    <t>When a green highlighted cell says "add MW, BP', it means that the molecular weight and boiling point needs to be entered before the calculated value is displayed. In previous version of the spreadsheet a value for PFF was displayed where not for all input parameters a value was entered.</t>
  </si>
  <si>
    <t>Fluid 1</t>
  </si>
  <si>
    <t>Fluid 2</t>
  </si>
  <si>
    <t>Source</t>
  </si>
  <si>
    <t>Weight percentage</t>
  </si>
  <si>
    <t>%</t>
  </si>
  <si>
    <t>Weighted Average Ingredients</t>
  </si>
  <si>
    <t>Weighted Average Flammable Ingredients or calculate</t>
  </si>
  <si>
    <t>Weighted Average Flammable Ingredients</t>
  </si>
  <si>
    <t>Lowest temperature from Flammable ingredients</t>
  </si>
  <si>
    <t>It is suggested only to enter values in the non-highlighted cells</t>
  </si>
  <si>
    <t>Enter value</t>
  </si>
  <si>
    <t xml:space="preserve">Values can be entered into the white cells. </t>
  </si>
  <si>
    <t>Boiling Point (BP)</t>
  </si>
  <si>
    <t>Flash Point (FP)</t>
  </si>
  <si>
    <t>Pigf is calculated from mixture flash point and boiling point</t>
  </si>
  <si>
    <t>This tab doesn’t work for only a single fluid.</t>
  </si>
  <si>
    <t>% (e.g. 50)</t>
  </si>
  <si>
    <t>kJ/mol</t>
  </si>
  <si>
    <t>Description</t>
  </si>
  <si>
    <t>Molecular Mass</t>
  </si>
  <si>
    <t>Density of Liquid Phase</t>
  </si>
  <si>
    <t>Ratio of Specific Heats</t>
  </si>
  <si>
    <t>Boiling Temperature</t>
  </si>
  <si>
    <t>Density of Vapor Compared to Air</t>
  </si>
  <si>
    <t>Pool Fire Factor for Flammable Liquids</t>
  </si>
  <si>
    <t>Heat of Combustion</t>
  </si>
  <si>
    <t>Liquid Factor Ambient</t>
  </si>
  <si>
    <t>Liquid Factor Boiling</t>
  </si>
  <si>
    <t>Toxic End Point for Toxic Fluids</t>
  </si>
  <si>
    <t>Flash Point Temperature (Closed Cup)</t>
  </si>
  <si>
    <t>Auto Ignition Temperature</t>
  </si>
  <si>
    <t>Probability of Ignition at the Flash Point Temperature</t>
  </si>
  <si>
    <t>Liquid Heat Capacity</t>
  </si>
  <si>
    <t>Save file in project folder on P: drive</t>
  </si>
  <si>
    <t>Save SDS in same folder as &lt;fluid name&gt;-&lt;client name&gt;-SDS.pdf</t>
  </si>
  <si>
    <r>
      <t xml:space="preserve">The </t>
    </r>
    <r>
      <rPr>
        <b/>
        <sz val="10"/>
        <rFont val="Arial"/>
        <family val="2"/>
      </rPr>
      <t>next tab (mixtures)</t>
    </r>
    <r>
      <rPr>
        <sz val="10"/>
        <rFont val="Arial"/>
        <family val="2"/>
      </rPr>
      <t xml:space="preserve"> has a tool that calculates the </t>
    </r>
    <r>
      <rPr>
        <b/>
        <sz val="10"/>
        <rFont val="Arial"/>
        <family val="2"/>
      </rPr>
      <t>fluid properties for mixtures</t>
    </r>
    <r>
      <rPr>
        <sz val="10"/>
        <rFont val="Arial"/>
        <family val="2"/>
      </rPr>
      <t xml:space="preserve"> of two flammables or a mixture of a flammable and an inert fluid.</t>
    </r>
  </si>
  <si>
    <t>at 25 deg C</t>
  </si>
  <si>
    <t>The following fluid properties are not entered into AA but are used in this spreadsheet to calculate other fluid properties.</t>
  </si>
  <si>
    <t>Instructions:</t>
  </si>
  <si>
    <t>1,2</t>
  </si>
  <si>
    <t>4,5</t>
  </si>
  <si>
    <t>7,8</t>
  </si>
  <si>
    <t>Footnotes:</t>
  </si>
  <si>
    <t>2. The liquid density should be given at 77 ºF / 25 ºC. Even when at that temperature the fluid is a gas at atmospheric pressure, the liquid density should be entered, not the gas density.</t>
  </si>
  <si>
    <t>3. A reliable source for the ‘Ratio of Specific Heats’ is NOAA http://cameochemicals.noaa.gov/search/simple</t>
  </si>
  <si>
    <t>4. If the PFF is not available in the published literature it can be calculated using the Heat of Vaporization, Heat of Combustion and the Liquid Heat Capacity. The equation is given in the Representative Fluid spreadsheet. Please note that the Heat of Combustion has the unit kJ/kg and the Heat of Vaporization and Liquid Heat Capacity have respectively the units J/kg and J/kg-K. The equation to calculate the PFF converts the Heat of Combustion from kJ/kg to J/kg.</t>
  </si>
  <si>
    <t>5. The PFF for all Reactive fluids is 0.564.</t>
  </si>
  <si>
    <t>6. If the LFA is not available in the published literature (EPA RMP) it can be calculated using the Vapor Pressure and the Molecular Weight. The equation is given in the Representative Fluid Spreadsheet.</t>
  </si>
  <si>
    <t>7. If the LFB is not available in the published literature (EPA RMP) it can be calculated using the Boiling Point and the Molecular Weight.</t>
  </si>
  <si>
    <t>10. The PigF is an estimated value based on experience and judgment. Examples of PigF values are: H2 = 1, C1-C4 = 0.5, C5-C8 = 0.25, C9-C25 = 0.10 and Glycol = 0.01.</t>
  </si>
  <si>
    <t>8. The Liquid Factor Boiling is shown as LBF in the lookup table RBI_FLUID_DATA. The only correct abbreviation is LFB.</t>
  </si>
  <si>
    <t>9. The preferred sources for toxic endpoint data are the EPA-RMP data and ERPG-2 values from AIHA. It can also be estimated from IDLH and LC-50 toxicity data. When the EPA or ERPG-2 data is available, this toxic endpoint data shall be used. Second in preference is the IDLH data. The endpoint equals to 0.1 * IDLH. Third in preference is the LC50 data. The endpoint equals to 0.01 * LC50. When multiple LC50 values are reported, the lowest LC50 value shall be used. Don’t confuse the LC50 value with LD50. Equations are suggested to convert LD50 values to an endpoint, however the units don’t match in this conversion and LD50 is reported with many different units. It is suggested not to determine an endpoint value from LD50 values. Reliable sources for endpoints are:
http://cameochemicals.noaa.gov/search/simple (EPA/NOAA)
https://pacteels.pnnl.gov/#/ (U.S. Department of Energy)</t>
  </si>
  <si>
    <t>Footnotes</t>
  </si>
  <si>
    <t>This tool is only for mixtures of two flammables or for a mixture of a flammable and an inert fluid.</t>
  </si>
  <si>
    <r>
      <t xml:space="preserve">The </t>
    </r>
    <r>
      <rPr>
        <b/>
        <sz val="10"/>
        <rFont val="Arial"/>
        <family val="2"/>
      </rPr>
      <t>weight percentages</t>
    </r>
    <r>
      <rPr>
        <sz val="10"/>
        <rFont val="Arial"/>
        <family val="2"/>
      </rPr>
      <t xml:space="preserve"> should be entered as a </t>
    </r>
    <r>
      <rPr>
        <b/>
        <sz val="10"/>
        <rFont val="Arial"/>
        <family val="2"/>
      </rPr>
      <t>fraction over 100</t>
    </r>
    <r>
      <rPr>
        <sz val="10"/>
        <rFont val="Arial"/>
        <family val="2"/>
      </rPr>
      <t xml:space="preserve">. For example 15% is entered in cell E11 and H11 as </t>
    </r>
    <r>
      <rPr>
        <b/>
        <sz val="10"/>
        <rFont val="Arial"/>
        <family val="2"/>
      </rPr>
      <t>15</t>
    </r>
    <r>
      <rPr>
        <sz val="10"/>
        <rFont val="Arial"/>
        <family val="2"/>
      </rPr>
      <t>, not as 0.15</t>
    </r>
  </si>
  <si>
    <t>Mixture values to enter into AA.</t>
  </si>
  <si>
    <t>1. In some documents, the metric unit for liquid density is listed as mg/l (milligrams per liter). This unit is incorrect for the RBI models; the correct metric unit for liquid density is g/ml (gram per milliliter) which is equal to g/cm3 (gram per cubic centimeter). For reference, water has a density of about 1.0 g/ml and 1,000,000 mg/l.</t>
  </si>
  <si>
    <t>Representative Fluid Data Sheet for Newton RDMS</t>
  </si>
  <si>
    <t xml:space="preserve">When entering the values into RDMS, pay attention to the units. </t>
  </si>
  <si>
    <r>
      <t xml:space="preserve">Always use the liquid density, even when the liquid is a gas in the stream. </t>
    </r>
    <r>
      <rPr>
        <b/>
        <sz val="10"/>
        <rFont val="Arial"/>
        <family val="2"/>
      </rPr>
      <t>Do not use a gas density.</t>
    </r>
    <r>
      <rPr>
        <sz val="10"/>
        <rFont val="Arial"/>
        <family val="2"/>
      </rPr>
      <t xml:space="preserve"> The RBI models determine the gas density from the molecular weight.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</si>
</sst>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11" x14ac:knownFonts="1">
    <font>
      <sz val="10"/>
      <name val="Arial"/>
    </font>
    <font>
      <sz val="10"/>
      <name val="Arial"/>
      <family val="2"/>
    </font>
    <font>
      <sz val="8"/>
      <name val="Arial"/>
      <family val="2"/>
    </font>
    <font>
      <b/>
      <sz val="10"/>
      <name val="Arial"/>
      <family val="2"/>
    </font>
    <font>
      <b/>
      <sz val="14"/>
      <name val="Arial"/>
      <family val="2"/>
    </font>
    <font>
      <i/>
      <sz val="14"/>
      <name val="Arial"/>
      <family val="2"/>
    </font>
    <font>
      <sz val="10"/>
      <name val="Arial"/>
      <family val="2"/>
    </font>
    <font>
      <sz val="9"/>
      <name val="Arial"/>
      <family val="2"/>
    </font>
    <font>
      <b/>
      <sz val="10"/>
      <color indexed="10"/>
      <name val="Arial"/>
      <family val="2"/>
    </font>
    <font>
      <i/>
      <sz val="10"/>
      <name val="Arial"/>
      <family val="2"/>
    </font>
    <font>
      <sz val="10"/>
      <color theme="0" tint="-0.249977111117893"/>
      <name val="Arial"/>
      <family val="2"/>
    </font>
  </fonts>
  <fills count="14">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diagonalDown="1">
      <left style="medium">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189">
    <xf numFmtId="0" fontId="0" fillId="0" borderId="0" xfId="0"/>
    <xf numFmtId="0" fontId="3" fillId="0" borderId="0" xfId="0" applyFont="1"/>
    <xf numFmtId="0" fontId="4" fillId="0" borderId="0" xfId="0" applyFont="1"/>
    <xf numFmtId="0" fontId="3" fillId="2" borderId="1" xfId="0" applyFont="1" applyFill="1" applyBorder="1"/>
    <xf numFmtId="0" fontId="0" fillId="0" borderId="1" xfId="0" applyBorder="1"/>
    <xf numFmtId="0" fontId="6" fillId="0" borderId="1" xfId="0" applyFont="1" applyBorder="1"/>
    <xf numFmtId="11" fontId="6" fillId="0" borderId="1" xfId="0" applyNumberFormat="1" applyFont="1" applyBorder="1"/>
    <xf numFmtId="0" fontId="0" fillId="3" borderId="1" xfId="0" applyFill="1" applyBorder="1"/>
    <xf numFmtId="0" fontId="0" fillId="4" borderId="0" xfId="0" applyFill="1"/>
    <xf numFmtId="11" fontId="0" fillId="4" borderId="0" xfId="0" applyNumberFormat="1" applyFill="1"/>
    <xf numFmtId="0" fontId="0" fillId="3" borderId="2" xfId="0" applyFill="1" applyBorder="1"/>
    <xf numFmtId="0" fontId="0" fillId="3" borderId="0" xfId="0" applyFill="1"/>
    <xf numFmtId="165" fontId="0" fillId="4" borderId="1" xfId="0" applyNumberFormat="1" applyFill="1" applyBorder="1"/>
    <xf numFmtId="166" fontId="0" fillId="4" borderId="1" xfId="0" applyNumberFormat="1" applyFill="1" applyBorder="1"/>
    <xf numFmtId="1" fontId="0" fillId="0" borderId="1" xfId="0" applyNumberFormat="1" applyBorder="1"/>
    <xf numFmtId="165" fontId="0" fillId="0" borderId="1" xfId="0" applyNumberFormat="1" applyBorder="1"/>
    <xf numFmtId="165" fontId="0" fillId="4" borderId="0" xfId="0" applyNumberFormat="1" applyFill="1"/>
    <xf numFmtId="0" fontId="0" fillId="0" borderId="0" xfId="0" quotePrefix="1"/>
    <xf numFmtId="0" fontId="1" fillId="4" borderId="0" xfId="0" applyFont="1" applyFill="1"/>
    <xf numFmtId="0" fontId="7" fillId="0" borderId="0" xfId="0" applyFont="1"/>
    <xf numFmtId="164" fontId="0" fillId="0" borderId="1" xfId="0" applyNumberFormat="1" applyBorder="1"/>
    <xf numFmtId="2" fontId="0" fillId="0" borderId="1" xfId="0" applyNumberFormat="1" applyBorder="1"/>
    <xf numFmtId="0" fontId="0" fillId="5" borderId="1" xfId="0" applyFill="1" applyBorder="1"/>
    <xf numFmtId="165" fontId="0" fillId="6" borderId="1" xfId="0" applyNumberFormat="1" applyFill="1" applyBorder="1"/>
    <xf numFmtId="166" fontId="0" fillId="6" borderId="1" xfId="0" applyNumberFormat="1" applyFill="1" applyBorder="1"/>
    <xf numFmtId="164" fontId="0" fillId="6" borderId="1" xfId="0" applyNumberFormat="1" applyFill="1" applyBorder="1"/>
    <xf numFmtId="0" fontId="3" fillId="0" borderId="1" xfId="0" applyFont="1" applyBorder="1"/>
    <xf numFmtId="15" fontId="0" fillId="0" borderId="0" xfId="0" applyNumberFormat="1" applyAlignment="1">
      <alignment horizontal="left"/>
    </xf>
    <xf numFmtId="165" fontId="0" fillId="0" borderId="2" xfId="0" applyNumberFormat="1" applyBorder="1"/>
    <xf numFmtId="0" fontId="0" fillId="0" borderId="0" xfId="0" applyProtection="1">
      <protection locked="0"/>
    </xf>
    <xf numFmtId="0" fontId="0" fillId="3" borderId="3" xfId="0" applyFill="1" applyBorder="1"/>
    <xf numFmtId="0" fontId="0" fillId="0" borderId="7" xfId="0" applyBorder="1" applyAlignment="1">
      <alignment vertical="center"/>
    </xf>
    <xf numFmtId="0" fontId="1" fillId="0" borderId="1" xfId="0" applyFont="1" applyBorder="1"/>
    <xf numFmtId="0" fontId="0" fillId="0" borderId="2" xfId="0" applyBorder="1"/>
    <xf numFmtId="2" fontId="1" fillId="0" borderId="1" xfId="0" applyNumberFormat="1" applyFont="1" applyBorder="1"/>
    <xf numFmtId="164" fontId="1" fillId="0" borderId="1" xfId="0" applyNumberFormat="1" applyFont="1" applyBorder="1"/>
    <xf numFmtId="0" fontId="1" fillId="0" borderId="1" xfId="0" quotePrefix="1" applyFont="1" applyBorder="1"/>
    <xf numFmtId="2" fontId="1" fillId="0" borderId="1" xfId="0" quotePrefix="1" applyNumberFormat="1" applyFont="1" applyBorder="1"/>
    <xf numFmtId="2"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quotePrefix="1" applyFont="1" applyBorder="1" applyAlignment="1">
      <alignment horizontal="center"/>
    </xf>
    <xf numFmtId="164" fontId="1" fillId="0" borderId="1" xfId="0" applyNumberFormat="1" applyFont="1" applyBorder="1" applyAlignment="1">
      <alignment horizontal="center"/>
    </xf>
    <xf numFmtId="1" fontId="0" fillId="0" borderId="1" xfId="0" applyNumberFormat="1" applyBorder="1" applyAlignment="1">
      <alignment horizontal="center"/>
    </xf>
    <xf numFmtId="1" fontId="1" fillId="0" borderId="1" xfId="0" applyNumberFormat="1" applyFont="1" applyBorder="1" applyAlignment="1">
      <alignment horizontal="center"/>
    </xf>
    <xf numFmtId="165" fontId="1" fillId="0" borderId="2" xfId="0" applyNumberFormat="1" applyFont="1" applyBorder="1" applyAlignment="1">
      <alignment horizontal="center"/>
    </xf>
    <xf numFmtId="165" fontId="0" fillId="0" borderId="2" xfId="0" applyNumberFormat="1" applyBorder="1" applyAlignment="1">
      <alignment horizontal="center"/>
    </xf>
    <xf numFmtId="0" fontId="0" fillId="0" borderId="0" xfId="0" applyAlignment="1">
      <alignment horizontal="center"/>
    </xf>
    <xf numFmtId="2" fontId="0" fillId="0" borderId="1" xfId="0" applyNumberFormat="1" applyBorder="1" applyAlignment="1">
      <alignment horizontal="center"/>
    </xf>
    <xf numFmtId="0" fontId="6" fillId="0" borderId="1" xfId="0" applyFont="1" applyBorder="1" applyAlignment="1">
      <alignment horizontal="center"/>
    </xf>
    <xf numFmtId="11" fontId="6" fillId="0" borderId="1" xfId="0" applyNumberFormat="1" applyFont="1" applyBorder="1" applyAlignment="1">
      <alignment horizontal="center"/>
    </xf>
    <xf numFmtId="11" fontId="1" fillId="0" borderId="1" xfId="0" applyNumberFormat="1" applyFont="1" applyBorder="1" applyAlignment="1">
      <alignment horizontal="center"/>
    </xf>
    <xf numFmtId="0" fontId="1" fillId="0" borderId="0" xfId="0" applyFont="1" applyProtection="1">
      <protection locked="0"/>
    </xf>
    <xf numFmtId="165" fontId="1" fillId="0" borderId="1" xfId="0" quotePrefix="1" applyNumberFormat="1" applyFont="1" applyBorder="1"/>
    <xf numFmtId="166" fontId="1" fillId="0" borderId="1" xfId="0" quotePrefix="1" applyNumberFormat="1" applyFont="1" applyBorder="1"/>
    <xf numFmtId="165" fontId="1" fillId="0" borderId="1" xfId="0" applyNumberFormat="1" applyFont="1" applyBorder="1" applyAlignment="1">
      <alignment horizontal="center"/>
    </xf>
    <xf numFmtId="165" fontId="0" fillId="0" borderId="1" xfId="0" applyNumberFormat="1" applyBorder="1" applyAlignment="1">
      <alignment horizontal="center"/>
    </xf>
    <xf numFmtId="166" fontId="1" fillId="0" borderId="1" xfId="0" applyNumberFormat="1" applyFont="1" applyBorder="1" applyAlignment="1">
      <alignment horizontal="center"/>
    </xf>
    <xf numFmtId="166" fontId="0" fillId="0" borderId="1" xfId="0" applyNumberFormat="1" applyBorder="1" applyAlignment="1">
      <alignment horizontal="center"/>
    </xf>
    <xf numFmtId="166" fontId="0" fillId="0" borderId="1" xfId="0" applyNumberFormat="1" applyBorder="1"/>
    <xf numFmtId="15" fontId="1" fillId="0" borderId="0" xfId="0" applyNumberFormat="1" applyFont="1" applyAlignment="1">
      <alignment horizontal="left"/>
    </xf>
    <xf numFmtId="0" fontId="1" fillId="0" borderId="0" xfId="0" applyFont="1" applyAlignment="1">
      <alignment horizontal="left" vertical="top"/>
    </xf>
    <xf numFmtId="0" fontId="0" fillId="0" borderId="0" xfId="0" applyAlignment="1">
      <alignment horizontal="left" vertical="top"/>
    </xf>
    <xf numFmtId="0" fontId="1" fillId="0" borderId="0" xfId="0" applyFont="1"/>
    <xf numFmtId="2" fontId="0" fillId="9" borderId="1" xfId="0" applyNumberFormat="1" applyFill="1" applyBorder="1"/>
    <xf numFmtId="0" fontId="0" fillId="9" borderId="1" xfId="0" applyFill="1" applyBorder="1"/>
    <xf numFmtId="164" fontId="0" fillId="9" borderId="1" xfId="0" applyNumberFormat="1" applyFill="1" applyBorder="1"/>
    <xf numFmtId="1" fontId="0" fillId="9" borderId="1" xfId="0" applyNumberFormat="1" applyFill="1" applyBorder="1"/>
    <xf numFmtId="0" fontId="0" fillId="9" borderId="0" xfId="0" applyFill="1"/>
    <xf numFmtId="0" fontId="1" fillId="0" borderId="8" xfId="0" applyFont="1" applyBorder="1"/>
    <xf numFmtId="0" fontId="3" fillId="0" borderId="9" xfId="0" applyFont="1" applyBorder="1"/>
    <xf numFmtId="2" fontId="0" fillId="8" borderId="0" xfId="0" applyNumberFormat="1" applyFill="1"/>
    <xf numFmtId="15" fontId="3" fillId="0" borderId="10" xfId="0" applyNumberFormat="1" applyFont="1" applyBorder="1" applyAlignment="1">
      <alignment horizontal="left"/>
    </xf>
    <xf numFmtId="0" fontId="0" fillId="0" borderId="11" xfId="0" applyBorder="1"/>
    <xf numFmtId="0" fontId="0" fillId="0" borderId="12" xfId="0" applyBorder="1"/>
    <xf numFmtId="0" fontId="3" fillId="0" borderId="13" xfId="0" applyFont="1" applyBorder="1"/>
    <xf numFmtId="0" fontId="0" fillId="0" borderId="14" xfId="0" applyBorder="1"/>
    <xf numFmtId="15" fontId="3" fillId="0" borderId="15" xfId="0" applyNumberFormat="1" applyFont="1" applyBorder="1" applyAlignment="1">
      <alignment horizontal="left"/>
    </xf>
    <xf numFmtId="0" fontId="0" fillId="0" borderId="16" xfId="0" applyBorder="1"/>
    <xf numFmtId="0" fontId="0" fillId="0" borderId="17" xfId="0" applyBorder="1"/>
    <xf numFmtId="0" fontId="0" fillId="0" borderId="13" xfId="0" applyBorder="1"/>
    <xf numFmtId="0" fontId="0" fillId="0" borderId="15" xfId="0" applyBorder="1"/>
    <xf numFmtId="1" fontId="6" fillId="0" borderId="1" xfId="0" applyNumberFormat="1" applyFont="1" applyBorder="1"/>
    <xf numFmtId="166" fontId="6" fillId="0" borderId="1" xfId="0" applyNumberFormat="1" applyFont="1" applyBorder="1"/>
    <xf numFmtId="165" fontId="0" fillId="9" borderId="2" xfId="0" applyNumberFormat="1" applyFill="1" applyBorder="1"/>
    <xf numFmtId="166" fontId="0" fillId="9" borderId="2" xfId="0" applyNumberFormat="1" applyFill="1" applyBorder="1"/>
    <xf numFmtId="11" fontId="0" fillId="9" borderId="2" xfId="0" applyNumberFormat="1" applyFill="1" applyBorder="1"/>
    <xf numFmtId="1" fontId="0" fillId="9" borderId="2" xfId="0" applyNumberFormat="1" applyFill="1" applyBorder="1"/>
    <xf numFmtId="0" fontId="5" fillId="0" borderId="13" xfId="0" applyFont="1" applyBorder="1" applyAlignment="1">
      <alignment horizontal="left" vertical="top"/>
    </xf>
    <xf numFmtId="0" fontId="5" fillId="0" borderId="0" xfId="0" applyFont="1" applyAlignment="1">
      <alignment horizontal="left" vertical="top"/>
    </xf>
    <xf numFmtId="0" fontId="5" fillId="0" borderId="14" xfId="0" applyFont="1" applyBorder="1" applyAlignment="1">
      <alignment horizontal="left" vertical="top"/>
    </xf>
    <xf numFmtId="0" fontId="9" fillId="0" borderId="0" xfId="0" applyFont="1" applyAlignment="1">
      <alignment horizontal="left"/>
    </xf>
    <xf numFmtId="0" fontId="3" fillId="2" borderId="9" xfId="0" applyFont="1" applyFill="1" applyBorder="1"/>
    <xf numFmtId="0" fontId="3" fillId="0" borderId="18" xfId="0" applyFont="1" applyBorder="1"/>
    <xf numFmtId="0" fontId="0" fillId="0" borderId="19" xfId="0" applyBorder="1"/>
    <xf numFmtId="0" fontId="0" fillId="0" borderId="20" xfId="0" applyBorder="1"/>
    <xf numFmtId="0" fontId="3" fillId="0" borderId="21" xfId="0" applyFont="1" applyBorder="1"/>
    <xf numFmtId="0" fontId="3" fillId="0" borderId="22" xfId="0" applyFont="1" applyBorder="1"/>
    <xf numFmtId="2" fontId="0" fillId="0" borderId="21" xfId="0" applyNumberFormat="1" applyBorder="1"/>
    <xf numFmtId="0" fontId="1" fillId="0" borderId="22" xfId="0" applyFont="1" applyBorder="1"/>
    <xf numFmtId="0" fontId="0" fillId="0" borderId="22" xfId="0" applyBorder="1"/>
    <xf numFmtId="0" fontId="0" fillId="0" borderId="21" xfId="0" applyBorder="1"/>
    <xf numFmtId="0" fontId="1" fillId="0" borderId="22" xfId="0" quotePrefix="1" applyFont="1" applyBorder="1"/>
    <xf numFmtId="164" fontId="0" fillId="0" borderId="21" xfId="0" applyNumberFormat="1" applyBorder="1"/>
    <xf numFmtId="0" fontId="0" fillId="3" borderId="21" xfId="0" applyFill="1" applyBorder="1"/>
    <xf numFmtId="2" fontId="0" fillId="4" borderId="21" xfId="0" applyNumberFormat="1" applyFill="1" applyBorder="1"/>
    <xf numFmtId="1" fontId="0" fillId="0" borderId="21" xfId="0" applyNumberFormat="1" applyBorder="1"/>
    <xf numFmtId="165" fontId="10" fillId="10" borderId="23" xfId="0" applyNumberFormat="1" applyFont="1" applyFill="1" applyBorder="1"/>
    <xf numFmtId="166" fontId="10" fillId="10" borderId="23" xfId="0" applyNumberFormat="1" applyFont="1" applyFill="1" applyBorder="1"/>
    <xf numFmtId="0" fontId="0" fillId="0" borderId="24" xfId="0" applyBorder="1"/>
    <xf numFmtId="166" fontId="0" fillId="4" borderId="21" xfId="0" applyNumberFormat="1" applyFill="1" applyBorder="1"/>
    <xf numFmtId="0" fontId="1" fillId="0" borderId="24" xfId="0" quotePrefix="1" applyFont="1" applyBorder="1"/>
    <xf numFmtId="0" fontId="0" fillId="0" borderId="25" xfId="0" applyBorder="1"/>
    <xf numFmtId="0" fontId="3" fillId="0" borderId="26" xfId="0" applyFont="1" applyBorder="1"/>
    <xf numFmtId="0" fontId="0" fillId="10" borderId="23" xfId="0" applyFill="1" applyBorder="1"/>
    <xf numFmtId="0" fontId="0" fillId="9" borderId="21" xfId="0" applyFill="1" applyBorder="1"/>
    <xf numFmtId="0" fontId="0" fillId="0" borderId="9" xfId="0" applyBorder="1"/>
    <xf numFmtId="165" fontId="0" fillId="11" borderId="27" xfId="0" applyNumberFormat="1" applyFill="1" applyBorder="1"/>
    <xf numFmtId="166" fontId="0" fillId="11" borderId="27" xfId="0" applyNumberFormat="1" applyFill="1" applyBorder="1"/>
    <xf numFmtId="0" fontId="3" fillId="7" borderId="18" xfId="0" applyFont="1" applyFill="1" applyBorder="1" applyAlignment="1">
      <alignment vertical="center"/>
    </xf>
    <xf numFmtId="0" fontId="3" fillId="7" borderId="28" xfId="0" applyFont="1" applyFill="1" applyBorder="1"/>
    <xf numFmtId="0" fontId="3" fillId="2" borderId="29" xfId="0" applyFont="1" applyFill="1" applyBorder="1"/>
    <xf numFmtId="0" fontId="0" fillId="3" borderId="30" xfId="0" applyFill="1" applyBorder="1"/>
    <xf numFmtId="0" fontId="0" fillId="0" borderId="31" xfId="0" applyBorder="1"/>
    <xf numFmtId="0" fontId="9" fillId="0" borderId="14" xfId="0" applyFont="1" applyBorder="1" applyAlignment="1">
      <alignment horizontal="left"/>
    </xf>
    <xf numFmtId="0" fontId="0" fillId="3" borderId="32" xfId="0" applyFill="1" applyBorder="1"/>
    <xf numFmtId="0" fontId="1" fillId="0" borderId="14" xfId="0" applyFont="1" applyBorder="1" applyProtection="1">
      <protection locked="0"/>
    </xf>
    <xf numFmtId="0" fontId="0" fillId="0" borderId="33" xfId="0" applyBorder="1" applyAlignment="1">
      <alignment vertical="center"/>
    </xf>
    <xf numFmtId="0" fontId="3" fillId="0" borderId="6" xfId="0" applyFont="1" applyBorder="1" applyAlignment="1">
      <alignment horizontal="center"/>
    </xf>
    <xf numFmtId="0" fontId="0" fillId="0" borderId="4" xfId="0" applyBorder="1"/>
    <xf numFmtId="0" fontId="0" fillId="0" borderId="5" xfId="0" applyBorder="1"/>
    <xf numFmtId="0" fontId="3" fillId="0" borderId="4" xfId="0" applyFont="1" applyBorder="1" applyAlignment="1">
      <alignment horizontal="center"/>
    </xf>
    <xf numFmtId="0" fontId="3" fillId="0" borderId="34" xfId="0" applyFont="1" applyBorder="1"/>
    <xf numFmtId="0" fontId="0" fillId="0" borderId="30" xfId="0" applyBorder="1"/>
    <xf numFmtId="0" fontId="3" fillId="0" borderId="29" xfId="0" applyFont="1" applyBorder="1"/>
    <xf numFmtId="0" fontId="3" fillId="0" borderId="6" xfId="0" applyFont="1" applyBorder="1"/>
    <xf numFmtId="2" fontId="0" fillId="0" borderId="0" xfId="0" applyNumberFormat="1"/>
    <xf numFmtId="2" fontId="1" fillId="0" borderId="0" xfId="0" applyNumberFormat="1" applyFont="1" applyAlignment="1">
      <alignment horizontal="center"/>
    </xf>
    <xf numFmtId="0" fontId="1" fillId="0" borderId="0" xfId="0" quotePrefix="1" applyFont="1"/>
    <xf numFmtId="0" fontId="1" fillId="0" borderId="0" xfId="0" applyFont="1" applyAlignment="1">
      <alignment horizontal="center"/>
    </xf>
    <xf numFmtId="0" fontId="1" fillId="0" borderId="0" xfId="0" quotePrefix="1" applyFont="1" applyAlignment="1">
      <alignment horizontal="center"/>
    </xf>
    <xf numFmtId="164" fontId="0" fillId="0" borderId="0" xfId="0" applyNumberFormat="1"/>
    <xf numFmtId="164" fontId="1" fillId="0" borderId="0" xfId="0" applyNumberFormat="1" applyFont="1"/>
    <xf numFmtId="1" fontId="0" fillId="0" borderId="0" xfId="0" applyNumberFormat="1"/>
    <xf numFmtId="1" fontId="0" fillId="0" borderId="0" xfId="0" applyNumberFormat="1" applyAlignment="1">
      <alignment horizontal="center"/>
    </xf>
    <xf numFmtId="1" fontId="1" fillId="0" borderId="0" xfId="0" applyNumberFormat="1" applyFont="1" applyAlignment="1">
      <alignment horizontal="center"/>
    </xf>
    <xf numFmtId="165" fontId="0" fillId="0" borderId="0" xfId="0" applyNumberFormat="1"/>
    <xf numFmtId="165" fontId="1" fillId="0" borderId="0" xfId="0" quotePrefix="1" applyNumberFormat="1" applyFont="1"/>
    <xf numFmtId="165" fontId="1" fillId="0" borderId="0" xfId="0" applyNumberFormat="1" applyFont="1" applyAlignment="1">
      <alignment horizontal="center"/>
    </xf>
    <xf numFmtId="165" fontId="0" fillId="0" borderId="0" xfId="0" applyNumberFormat="1" applyAlignment="1">
      <alignment horizontal="center"/>
    </xf>
    <xf numFmtId="166" fontId="0" fillId="0" borderId="0" xfId="0" applyNumberFormat="1"/>
    <xf numFmtId="166" fontId="1" fillId="0" borderId="0" xfId="0" quotePrefix="1" applyNumberFormat="1" applyFont="1"/>
    <xf numFmtId="166" fontId="1" fillId="0" borderId="0" xfId="0" applyNumberFormat="1" applyFont="1" applyAlignment="1">
      <alignment horizontal="center"/>
    </xf>
    <xf numFmtId="166" fontId="0" fillId="0" borderId="0" xfId="0" applyNumberFormat="1" applyAlignment="1">
      <alignment horizontal="center"/>
    </xf>
    <xf numFmtId="2" fontId="1" fillId="0" borderId="0" xfId="0" quotePrefix="1" applyNumberFormat="1" applyFont="1"/>
    <xf numFmtId="2" fontId="0" fillId="0" borderId="0" xfId="0" applyNumberFormat="1" applyAlignment="1">
      <alignment horizontal="center"/>
    </xf>
    <xf numFmtId="0" fontId="6" fillId="0" borderId="0" xfId="0" applyFont="1"/>
    <xf numFmtId="166" fontId="6" fillId="0" borderId="0" xfId="0" applyNumberFormat="1" applyFont="1"/>
    <xf numFmtId="0" fontId="6" fillId="0" borderId="0" xfId="0" applyFont="1" applyAlignment="1">
      <alignment horizontal="center"/>
    </xf>
    <xf numFmtId="11" fontId="6" fillId="0" borderId="0" xfId="0" applyNumberFormat="1" applyFont="1"/>
    <xf numFmtId="11" fontId="0" fillId="0" borderId="0" xfId="0" applyNumberFormat="1"/>
    <xf numFmtId="11" fontId="6" fillId="0" borderId="0" xfId="0" applyNumberFormat="1" applyFont="1" applyAlignment="1">
      <alignment horizontal="center"/>
    </xf>
    <xf numFmtId="11" fontId="1" fillId="0" borderId="0" xfId="0" applyNumberFormat="1" applyFont="1" applyAlignment="1">
      <alignment horizontal="center"/>
    </xf>
    <xf numFmtId="1" fontId="6" fillId="0" borderId="0" xfId="0" applyNumberFormat="1" applyFont="1"/>
    <xf numFmtId="0" fontId="1" fillId="9" borderId="21" xfId="0" applyFont="1" applyFill="1" applyBorder="1"/>
    <xf numFmtId="2" fontId="1" fillId="0" borderId="21" xfId="0" applyNumberFormat="1" applyFont="1" applyBorder="1"/>
    <xf numFmtId="2" fontId="0" fillId="9" borderId="2" xfId="0" applyNumberFormat="1" applyFill="1" applyBorder="1"/>
    <xf numFmtId="1" fontId="0" fillId="9" borderId="21" xfId="0" applyNumberFormat="1" applyFill="1" applyBorder="1"/>
    <xf numFmtId="164" fontId="0" fillId="9" borderId="21" xfId="0" applyNumberFormat="1" applyFill="1" applyBorder="1"/>
    <xf numFmtId="0" fontId="1" fillId="10" borderId="35" xfId="0" applyFont="1" applyFill="1" applyBorder="1" applyAlignment="1">
      <alignment horizontal="center"/>
    </xf>
    <xf numFmtId="0" fontId="1" fillId="10" borderId="36" xfId="0" applyFont="1" applyFill="1" applyBorder="1" applyAlignment="1">
      <alignment horizontal="center"/>
    </xf>
    <xf numFmtId="0" fontId="1" fillId="10" borderId="17" xfId="0" applyFont="1" applyFill="1" applyBorder="1" applyAlignment="1">
      <alignment horizontal="center" vertical="center"/>
    </xf>
    <xf numFmtId="0" fontId="1" fillId="10" borderId="15" xfId="0" applyFont="1" applyFill="1" applyBorder="1" applyAlignment="1">
      <alignment horizontal="center" vertical="center"/>
    </xf>
    <xf numFmtId="2" fontId="1" fillId="9" borderId="21" xfId="0" applyNumberFormat="1" applyFont="1" applyFill="1" applyBorder="1"/>
    <xf numFmtId="164" fontId="1" fillId="9" borderId="21" xfId="0" applyNumberFormat="1" applyFont="1" applyFill="1" applyBorder="1"/>
    <xf numFmtId="0" fontId="0" fillId="9" borderId="13" xfId="0" applyFill="1" applyBorder="1"/>
    <xf numFmtId="0" fontId="3" fillId="0" borderId="8" xfId="0" applyFont="1" applyBorder="1"/>
    <xf numFmtId="0" fontId="4" fillId="7" borderId="18" xfId="0" applyFont="1" applyFill="1" applyBorder="1" applyAlignment="1">
      <alignment vertical="center"/>
    </xf>
    <xf numFmtId="0" fontId="5" fillId="7" borderId="1" xfId="0" applyFont="1" applyFill="1" applyBorder="1" applyAlignment="1">
      <alignment horizontal="left" vertical="center"/>
    </xf>
    <xf numFmtId="0" fontId="3" fillId="12" borderId="1" xfId="0" applyFont="1" applyFill="1" applyBorder="1"/>
    <xf numFmtId="0" fontId="1" fillId="2" borderId="1" xfId="0" applyFont="1" applyFill="1" applyBorder="1"/>
    <xf numFmtId="0" fontId="1" fillId="12" borderId="1" xfId="0" applyFont="1" applyFill="1" applyBorder="1"/>
    <xf numFmtId="0" fontId="6" fillId="13" borderId="1" xfId="0" applyFont="1" applyFill="1" applyBorder="1"/>
    <xf numFmtId="0" fontId="1" fillId="13" borderId="1" xfId="0" applyFont="1" applyFill="1" applyBorder="1"/>
    <xf numFmtId="0" fontId="3" fillId="0" borderId="17" xfId="0" applyFont="1" applyBorder="1"/>
    <xf numFmtId="0" fontId="3" fillId="0" borderId="0" xfId="0" applyFont="1" applyAlignment="1">
      <alignment horizontal="right"/>
    </xf>
    <xf numFmtId="0" fontId="0" fillId="0" borderId="1" xfId="0"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left" vertical="center" wrapText="1"/>
    </xf>
    <xf numFmtId="0" fontId="1" fillId="0" borderId="1" xfId="0" applyFont="1" applyBorder="1" applyAlignment="1">
      <alignment horizontal="left"/>
    </xf>
  </cellXfs>
  <cellStyles count="1">
    <cellStyle name="Normal" xfId="0" builtinId="0"/>
  </cellStyles>
  <dxfs count="19">
    <dxf>
      <fill>
        <patternFill patternType="solid">
          <fgColor indexed="64"/>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137160</xdr:colOff>
          <xdr:row>31</xdr:row>
          <xdr:rowOff>236220</xdr:rowOff>
        </xdr:from>
        <xdr:to>
          <xdr:col>21</xdr:col>
          <xdr:colOff>335280</xdr:colOff>
          <xdr:row>33</xdr:row>
          <xdr:rowOff>198120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7"/>
  <sheetViews>
    <sheetView showGridLines="0" tabSelected="1" workbookViewId="0">
      <selection activeCell="B18" sqref="B18"/>
    </sheetView>
  </sheetViews>
  <sheetFormatPr defaultColWidth="9.109375" defaultRowHeight="13.2" x14ac:dyDescent="0.25"/>
  <cols>
    <col min="1" max="1" width="17.6640625" customWidth="1"/>
    <col min="2" max="2" width="48.109375" bestFit="1" customWidth="1"/>
    <col min="3" max="3" width="14.5546875" customWidth="1"/>
    <col min="4" max="4" width="7.6640625" customWidth="1"/>
    <col min="5" max="5" width="14.5546875" customWidth="1"/>
    <col min="6" max="6" width="7.6640625" customWidth="1"/>
    <col min="7" max="9" width="2.6640625" customWidth="1"/>
    <col min="10" max="10" width="19" customWidth="1"/>
    <col min="11" max="11" width="53.44140625" bestFit="1" customWidth="1"/>
    <col min="12" max="12" width="9.88671875" bestFit="1" customWidth="1"/>
    <col min="13" max="13" width="7.5546875" customWidth="1"/>
    <col min="15" max="15" width="10" customWidth="1"/>
    <col min="17" max="17" width="8.5546875" bestFit="1" customWidth="1"/>
    <col min="19" max="19" width="7.33203125" bestFit="1" customWidth="1"/>
  </cols>
  <sheetData>
    <row r="1" spans="1:12" ht="17.399999999999999" x14ac:dyDescent="0.3">
      <c r="A1" s="2" t="s">
        <v>171</v>
      </c>
      <c r="B1" s="2"/>
    </row>
    <row r="2" spans="1:12" ht="6" customHeight="1" thickBot="1" x14ac:dyDescent="0.3"/>
    <row r="3" spans="1:12" x14ac:dyDescent="0.25">
      <c r="A3" s="26" t="s">
        <v>90</v>
      </c>
      <c r="B3" s="26"/>
      <c r="E3" s="71" t="s">
        <v>147</v>
      </c>
      <c r="F3" s="72"/>
      <c r="G3" s="72"/>
      <c r="H3" s="72"/>
      <c r="I3" s="72"/>
      <c r="J3" s="72"/>
      <c r="K3" s="73"/>
    </row>
    <row r="4" spans="1:12" x14ac:dyDescent="0.25">
      <c r="A4" s="26" t="s">
        <v>6</v>
      </c>
      <c r="B4" s="26"/>
      <c r="C4" s="27"/>
      <c r="E4" s="74" t="s">
        <v>106</v>
      </c>
      <c r="G4" s="27"/>
      <c r="H4" s="27"/>
      <c r="I4" s="27"/>
      <c r="K4" s="75"/>
    </row>
    <row r="5" spans="1:12" x14ac:dyDescent="0.25">
      <c r="A5" s="26" t="s">
        <v>65</v>
      </c>
      <c r="B5" s="26"/>
      <c r="C5" s="59" t="s">
        <v>80</v>
      </c>
      <c r="E5" s="74" t="s">
        <v>105</v>
      </c>
      <c r="G5" s="27"/>
      <c r="H5" s="27"/>
      <c r="I5" s="27"/>
      <c r="K5" s="75"/>
    </row>
    <row r="6" spans="1:12" ht="13.8" thickBot="1" x14ac:dyDescent="0.3">
      <c r="A6" s="1"/>
      <c r="B6" s="1"/>
      <c r="C6" s="59"/>
      <c r="E6" s="76" t="s">
        <v>148</v>
      </c>
      <c r="F6" s="77"/>
      <c r="G6" s="77"/>
      <c r="H6" s="77"/>
      <c r="I6" s="77"/>
      <c r="J6" s="77"/>
      <c r="K6" s="183"/>
      <c r="L6" s="1"/>
    </row>
    <row r="7" spans="1:12" ht="6" customHeight="1" x14ac:dyDescent="0.25">
      <c r="A7" s="1"/>
      <c r="B7" s="1"/>
      <c r="C7" s="60"/>
      <c r="D7" s="61"/>
      <c r="E7" s="61"/>
      <c r="K7" s="1"/>
      <c r="L7" s="1"/>
    </row>
    <row r="8" spans="1:12" x14ac:dyDescent="0.25">
      <c r="A8" s="184" t="s">
        <v>152</v>
      </c>
      <c r="B8" s="60" t="s">
        <v>87</v>
      </c>
      <c r="C8" s="1"/>
      <c r="D8" s="61"/>
      <c r="E8" s="61"/>
      <c r="K8" s="1"/>
      <c r="L8" s="1"/>
    </row>
    <row r="9" spans="1:12" x14ac:dyDescent="0.25">
      <c r="B9" s="60" t="s">
        <v>84</v>
      </c>
      <c r="C9" s="1"/>
      <c r="D9" s="61"/>
      <c r="E9" s="61"/>
      <c r="K9" s="1"/>
      <c r="L9" s="1"/>
    </row>
    <row r="10" spans="1:12" x14ac:dyDescent="0.25">
      <c r="B10" s="62" t="s">
        <v>172</v>
      </c>
      <c r="C10" s="1"/>
      <c r="D10" s="61"/>
      <c r="E10" s="61"/>
      <c r="K10" s="1"/>
      <c r="L10" s="1"/>
    </row>
    <row r="11" spans="1:12" x14ac:dyDescent="0.25">
      <c r="B11" s="8" t="s">
        <v>40</v>
      </c>
      <c r="C11" s="60" t="s">
        <v>86</v>
      </c>
      <c r="E11" s="61"/>
      <c r="K11" s="1"/>
      <c r="L11" s="1"/>
    </row>
    <row r="12" spans="1:12" x14ac:dyDescent="0.25">
      <c r="B12" s="11" t="s">
        <v>41</v>
      </c>
      <c r="C12" s="60" t="s">
        <v>88</v>
      </c>
      <c r="E12" s="61"/>
      <c r="K12" s="1"/>
      <c r="L12" s="1"/>
    </row>
    <row r="13" spans="1:12" x14ac:dyDescent="0.25">
      <c r="B13" s="62" t="s">
        <v>89</v>
      </c>
      <c r="C13" s="1"/>
      <c r="D13" s="60"/>
      <c r="E13" s="61"/>
      <c r="K13" s="1"/>
      <c r="L13" s="1"/>
    </row>
    <row r="14" spans="1:12" x14ac:dyDescent="0.25">
      <c r="B14" s="62" t="s">
        <v>113</v>
      </c>
      <c r="C14" s="1"/>
      <c r="D14" s="60"/>
      <c r="E14" s="61"/>
      <c r="K14" s="1"/>
      <c r="L14" s="1"/>
    </row>
    <row r="15" spans="1:12" x14ac:dyDescent="0.25">
      <c r="B15" s="62" t="s">
        <v>149</v>
      </c>
      <c r="C15" s="1"/>
      <c r="D15" s="60"/>
      <c r="E15" s="61"/>
      <c r="K15" s="1"/>
      <c r="L15" s="1"/>
    </row>
    <row r="16" spans="1:12" x14ac:dyDescent="0.25">
      <c r="B16" s="62" t="s">
        <v>173</v>
      </c>
      <c r="C16" s="1"/>
      <c r="D16" s="60"/>
      <c r="E16" s="61"/>
      <c r="K16" s="1"/>
      <c r="L16" s="1"/>
    </row>
    <row r="17" spans="1:23" ht="6" customHeight="1" thickBot="1" x14ac:dyDescent="0.3">
      <c r="A17" s="1"/>
      <c r="B17" s="1"/>
    </row>
    <row r="18" spans="1:23" ht="29.25" customHeight="1" x14ac:dyDescent="0.25">
      <c r="A18" s="176" t="s">
        <v>0</v>
      </c>
      <c r="B18" s="177"/>
      <c r="C18" s="88"/>
      <c r="D18" s="88"/>
      <c r="E18" s="88"/>
      <c r="F18" s="88"/>
      <c r="G18" s="88"/>
      <c r="H18" s="88"/>
      <c r="I18" s="88"/>
      <c r="J18" s="88"/>
      <c r="K18" s="88"/>
      <c r="L18" s="88"/>
    </row>
    <row r="19" spans="1:23" ht="21" customHeight="1" x14ac:dyDescent="0.25">
      <c r="A19" s="3" t="s">
        <v>2</v>
      </c>
      <c r="B19" s="30"/>
      <c r="D19" s="51"/>
      <c r="F19" s="29"/>
      <c r="G19" s="29"/>
      <c r="H19" s="29"/>
      <c r="I19" s="29"/>
      <c r="J19" s="29"/>
    </row>
    <row r="20" spans="1:23" ht="21" customHeight="1" x14ac:dyDescent="0.25">
      <c r="A20" s="4" t="s">
        <v>1</v>
      </c>
      <c r="B20" s="31"/>
    </row>
    <row r="21" spans="1:23" ht="21" customHeight="1" x14ac:dyDescent="0.25">
      <c r="C21" s="69" t="s">
        <v>68</v>
      </c>
      <c r="D21" s="33"/>
      <c r="E21" s="69" t="s">
        <v>69</v>
      </c>
      <c r="F21" s="33"/>
    </row>
    <row r="22" spans="1:23" ht="21" customHeight="1" x14ac:dyDescent="0.25">
      <c r="B22" s="26" t="s">
        <v>132</v>
      </c>
      <c r="C22" s="26" t="s">
        <v>12</v>
      </c>
      <c r="D22" s="26" t="s">
        <v>66</v>
      </c>
      <c r="E22" s="26" t="s">
        <v>67</v>
      </c>
      <c r="F22" s="26" t="s">
        <v>66</v>
      </c>
      <c r="G22" s="1" t="s">
        <v>76</v>
      </c>
      <c r="H22" s="1" t="s">
        <v>75</v>
      </c>
      <c r="I22" s="1" t="s">
        <v>77</v>
      </c>
      <c r="J22" s="1" t="s">
        <v>73</v>
      </c>
      <c r="K22" s="1" t="s">
        <v>72</v>
      </c>
      <c r="L22" s="1" t="s">
        <v>166</v>
      </c>
    </row>
    <row r="23" spans="1:23" ht="21" customHeight="1" x14ac:dyDescent="0.25">
      <c r="A23" s="3" t="s">
        <v>7</v>
      </c>
      <c r="B23" s="179" t="s">
        <v>133</v>
      </c>
      <c r="C23" s="21"/>
      <c r="D23" s="32" t="s">
        <v>70</v>
      </c>
      <c r="E23" s="63" t="str">
        <f>+IF(C23="","",C23)</f>
        <v/>
      </c>
      <c r="F23" s="21" t="str">
        <f>+D23</f>
        <v>g/mol</v>
      </c>
      <c r="G23" s="38" t="s">
        <v>78</v>
      </c>
      <c r="H23" s="38" t="s">
        <v>78</v>
      </c>
      <c r="I23" s="38" t="s">
        <v>78</v>
      </c>
      <c r="J23" s="21"/>
      <c r="K23" s="4"/>
      <c r="L23" s="4"/>
      <c r="N23" s="62" t="s">
        <v>103</v>
      </c>
    </row>
    <row r="24" spans="1:23" ht="21" customHeight="1" x14ac:dyDescent="0.25">
      <c r="A24" s="3" t="s">
        <v>8</v>
      </c>
      <c r="B24" s="179" t="s">
        <v>134</v>
      </c>
      <c r="C24" s="21"/>
      <c r="D24" s="4" t="s">
        <v>9</v>
      </c>
      <c r="E24" s="63" t="str">
        <f>+IF(C24="","",C24/62.42796)</f>
        <v/>
      </c>
      <c r="F24" s="34" t="s">
        <v>71</v>
      </c>
      <c r="G24" s="38" t="s">
        <v>78</v>
      </c>
      <c r="H24" s="38" t="s">
        <v>78</v>
      </c>
      <c r="I24" s="38" t="s">
        <v>78</v>
      </c>
      <c r="J24" s="32" t="s">
        <v>62</v>
      </c>
      <c r="K24" s="4"/>
      <c r="L24" s="39" t="s">
        <v>153</v>
      </c>
      <c r="N24" s="4">
        <v>1</v>
      </c>
      <c r="O24" s="62" t="s">
        <v>96</v>
      </c>
      <c r="P24" s="8">
        <f>N24*62.428</f>
        <v>62.427999999999997</v>
      </c>
      <c r="Q24" s="62" t="s">
        <v>93</v>
      </c>
      <c r="R24" s="62"/>
    </row>
    <row r="25" spans="1:23" ht="21" customHeight="1" x14ac:dyDescent="0.25">
      <c r="A25" s="3" t="s">
        <v>10</v>
      </c>
      <c r="B25" s="179" t="s">
        <v>135</v>
      </c>
      <c r="C25" s="4"/>
      <c r="D25" s="36" t="s">
        <v>74</v>
      </c>
      <c r="E25" s="64" t="str">
        <f>+IF(C25="","",C25)</f>
        <v/>
      </c>
      <c r="F25" s="36" t="s">
        <v>74</v>
      </c>
      <c r="G25" s="39" t="s">
        <v>78</v>
      </c>
      <c r="H25" s="39" t="s">
        <v>78</v>
      </c>
      <c r="I25" s="40"/>
      <c r="J25" s="32"/>
      <c r="K25" s="4"/>
      <c r="L25" s="185">
        <v>3</v>
      </c>
      <c r="N25" s="62" t="s">
        <v>94</v>
      </c>
    </row>
    <row r="26" spans="1:23" ht="21" customHeight="1" x14ac:dyDescent="0.25">
      <c r="A26" s="3" t="s">
        <v>11</v>
      </c>
      <c r="B26" s="179" t="s">
        <v>136</v>
      </c>
      <c r="C26" s="20"/>
      <c r="D26" s="32" t="s">
        <v>75</v>
      </c>
      <c r="E26" s="65" t="str">
        <f>+IF(C26="","",(0.555555555555556)*(C26-32))</f>
        <v/>
      </c>
      <c r="F26" s="35" t="s">
        <v>104</v>
      </c>
      <c r="G26" s="41" t="s">
        <v>78</v>
      </c>
      <c r="H26" s="41" t="s">
        <v>78</v>
      </c>
      <c r="I26" s="41"/>
      <c r="J26" s="35"/>
      <c r="K26" s="4"/>
      <c r="L26" s="185"/>
      <c r="M26" s="70">
        <f xml:space="preserve"> ((C26-32)*(5/9))+273.15</f>
        <v>255.37222222222221</v>
      </c>
      <c r="N26" s="4">
        <v>1</v>
      </c>
      <c r="O26" s="62" t="s">
        <v>97</v>
      </c>
      <c r="P26" s="18">
        <f>(N26/5)*9+32</f>
        <v>33.799999999999997</v>
      </c>
      <c r="Q26" s="62" t="s">
        <v>75</v>
      </c>
    </row>
    <row r="27" spans="1:23" ht="21" customHeight="1" x14ac:dyDescent="0.25">
      <c r="A27" s="3" t="s">
        <v>13</v>
      </c>
      <c r="B27" s="179" t="s">
        <v>137</v>
      </c>
      <c r="C27" s="7"/>
      <c r="D27" s="36" t="s">
        <v>74</v>
      </c>
      <c r="E27" s="66" t="str">
        <f>+IF(C27="","",C27)</f>
        <v/>
      </c>
      <c r="F27" s="36" t="s">
        <v>74</v>
      </c>
      <c r="G27" s="39" t="s">
        <v>78</v>
      </c>
      <c r="H27" s="39" t="s">
        <v>78</v>
      </c>
      <c r="I27" s="40"/>
      <c r="J27" s="4"/>
      <c r="K27" s="4"/>
      <c r="L27" s="185"/>
      <c r="N27" s="62" t="s">
        <v>95</v>
      </c>
    </row>
    <row r="28" spans="1:23" ht="21" customHeight="1" x14ac:dyDescent="0.25">
      <c r="A28" s="3" t="s">
        <v>16</v>
      </c>
      <c r="B28" s="179" t="s">
        <v>138</v>
      </c>
      <c r="C28" s="63" t="str">
        <f>IF(B19="Reactive",0.564,IF(OR(C29="",C38="",C39=""),"add HCF,HV,Cp",(1000*C29)*SQRT(0.0001/(5000*PI()*(C38+C39*(M26-298))))))</f>
        <v>add HCF,HV,Cp</v>
      </c>
      <c r="D28" s="36" t="s">
        <v>74</v>
      </c>
      <c r="E28" s="63" t="str">
        <f>+C28</f>
        <v>add HCF,HV,Cp</v>
      </c>
      <c r="F28" s="36" t="s">
        <v>74</v>
      </c>
      <c r="G28" s="39"/>
      <c r="H28" s="39" t="s">
        <v>78</v>
      </c>
      <c r="I28" s="39"/>
      <c r="J28" s="4"/>
      <c r="K28" s="7" t="s">
        <v>20</v>
      </c>
      <c r="L28" s="39" t="s">
        <v>154</v>
      </c>
      <c r="N28" s="4">
        <v>1</v>
      </c>
      <c r="O28" t="s">
        <v>38</v>
      </c>
      <c r="P28" s="9">
        <f>N28*4.186*1000</f>
        <v>4186</v>
      </c>
      <c r="Q28" s="62" t="s">
        <v>99</v>
      </c>
      <c r="R28" s="67">
        <f>+P28/1000</f>
        <v>4.1859999999999999</v>
      </c>
      <c r="S28" s="62" t="s">
        <v>83</v>
      </c>
    </row>
    <row r="29" spans="1:23" ht="21" customHeight="1" x14ac:dyDescent="0.25">
      <c r="A29" s="3" t="s">
        <v>22</v>
      </c>
      <c r="B29" s="179" t="s">
        <v>139</v>
      </c>
      <c r="C29" s="14"/>
      <c r="D29" s="32" t="s">
        <v>83</v>
      </c>
      <c r="E29" s="66" t="str">
        <f>+IF(C29="","",C29)</f>
        <v/>
      </c>
      <c r="F29" s="32" t="s">
        <v>83</v>
      </c>
      <c r="G29" s="42"/>
      <c r="H29" s="43" t="s">
        <v>78</v>
      </c>
      <c r="I29" s="42"/>
      <c r="J29" s="14"/>
      <c r="K29" s="4"/>
      <c r="L29" s="185"/>
      <c r="N29" s="4">
        <v>1</v>
      </c>
      <c r="O29" t="s">
        <v>98</v>
      </c>
      <c r="P29" s="67">
        <f>+N29*4184</f>
        <v>4184</v>
      </c>
      <c r="Q29" s="62" t="s">
        <v>100</v>
      </c>
      <c r="R29" s="67">
        <f>+P29/1000</f>
        <v>4.1840000000000002</v>
      </c>
      <c r="S29" s="62" t="s">
        <v>101</v>
      </c>
      <c r="T29" s="4">
        <v>1</v>
      </c>
      <c r="U29" s="62" t="s">
        <v>131</v>
      </c>
      <c r="V29" s="67" t="e">
        <f>(T29/C23)*1000</f>
        <v>#DIV/0!</v>
      </c>
      <c r="W29" s="62" t="s">
        <v>83</v>
      </c>
    </row>
    <row r="30" spans="1:23" ht="21" customHeight="1" x14ac:dyDescent="0.25">
      <c r="A30" s="3" t="s">
        <v>21</v>
      </c>
      <c r="B30" s="179" t="s">
        <v>140</v>
      </c>
      <c r="C30" s="12" t="str">
        <f>IF(OR(C23="",C37=""),"add MW; VP",(0.284*(C23^0.6666)*C37)/(82.05*298))</f>
        <v>add MW; VP</v>
      </c>
      <c r="D30" s="36" t="s">
        <v>74</v>
      </c>
      <c r="E30" s="12" t="str">
        <f>+C30</f>
        <v>add MW; VP</v>
      </c>
      <c r="F30" s="52" t="s">
        <v>74</v>
      </c>
      <c r="G30" s="54" t="s">
        <v>78</v>
      </c>
      <c r="H30" s="55"/>
      <c r="I30" s="55"/>
      <c r="J30" s="15"/>
      <c r="K30" s="7" t="s">
        <v>20</v>
      </c>
      <c r="L30" s="185">
        <v>6</v>
      </c>
      <c r="N30" s="62" t="s">
        <v>91</v>
      </c>
    </row>
    <row r="31" spans="1:23" ht="21" customHeight="1" x14ac:dyDescent="0.25">
      <c r="A31" s="3" t="s">
        <v>23</v>
      </c>
      <c r="B31" s="179" t="s">
        <v>141</v>
      </c>
      <c r="C31" s="13" t="str">
        <f>IF(OR(C23="",C26=""),"add MW; BP",(0.284*(C23^0.6666)*760)/(82.05*M26))</f>
        <v>add MW; BP</v>
      </c>
      <c r="D31" s="36" t="s">
        <v>74</v>
      </c>
      <c r="E31" s="13" t="str">
        <f>+C31</f>
        <v>add MW; BP</v>
      </c>
      <c r="F31" s="53" t="s">
        <v>74</v>
      </c>
      <c r="G31" s="56" t="s">
        <v>78</v>
      </c>
      <c r="H31" s="57"/>
      <c r="I31" s="57"/>
      <c r="J31" s="58"/>
      <c r="K31" s="7" t="s">
        <v>20</v>
      </c>
      <c r="L31" s="39" t="s">
        <v>155</v>
      </c>
      <c r="N31" s="4">
        <v>1</v>
      </c>
      <c r="O31" s="62" t="s">
        <v>102</v>
      </c>
      <c r="P31" s="16" t="str">
        <f>+IF(C23="","Add MW",(N31*C23)/24500)</f>
        <v>Add MW</v>
      </c>
      <c r="Q31" s="62" t="s">
        <v>82</v>
      </c>
    </row>
    <row r="32" spans="1:23" ht="21" customHeight="1" x14ac:dyDescent="0.25">
      <c r="A32" s="3" t="s">
        <v>91</v>
      </c>
      <c r="B32" s="179" t="s">
        <v>142</v>
      </c>
      <c r="C32" s="15"/>
      <c r="D32" s="4" t="s">
        <v>82</v>
      </c>
      <c r="E32" s="83" t="str">
        <f>+IF(C32="","",C32)</f>
        <v/>
      </c>
      <c r="F32" s="28" t="str">
        <f>+D32</f>
        <v>mg/l</v>
      </c>
      <c r="G32" s="44" t="s">
        <v>78</v>
      </c>
      <c r="H32" s="45"/>
      <c r="I32" s="45"/>
      <c r="J32" s="10" t="s">
        <v>30</v>
      </c>
      <c r="K32" s="4"/>
      <c r="L32" s="185">
        <v>9</v>
      </c>
      <c r="N32" s="62" t="s">
        <v>16</v>
      </c>
    </row>
    <row r="33" spans="1:17" ht="21" customHeight="1" x14ac:dyDescent="0.25">
      <c r="A33" s="178" t="s">
        <v>31</v>
      </c>
      <c r="B33" s="180" t="s">
        <v>143</v>
      </c>
      <c r="C33" s="20"/>
      <c r="D33" s="32" t="s">
        <v>75</v>
      </c>
      <c r="E33" s="65" t="str">
        <f>+IF(C33="","",(0.555555555555556)*(C33-32))</f>
        <v/>
      </c>
      <c r="F33" s="35" t="s">
        <v>104</v>
      </c>
      <c r="G33" s="42"/>
      <c r="H33" s="43" t="s">
        <v>78</v>
      </c>
      <c r="I33" s="42"/>
      <c r="J33" s="14"/>
      <c r="K33" s="4"/>
      <c r="L33" s="185"/>
      <c r="N33" t="s">
        <v>111</v>
      </c>
      <c r="O33" s="19"/>
      <c r="P33" s="17"/>
    </row>
    <row r="34" spans="1:17" ht="21" customHeight="1" x14ac:dyDescent="0.25">
      <c r="A34" s="178" t="s">
        <v>32</v>
      </c>
      <c r="B34" s="180" t="s">
        <v>144</v>
      </c>
      <c r="C34" s="20"/>
      <c r="D34" s="32" t="s">
        <v>75</v>
      </c>
      <c r="E34" s="65" t="str">
        <f>+IF(C34="","",(0.555555555555556)*(C34-32))</f>
        <v/>
      </c>
      <c r="F34" s="35" t="s">
        <v>104</v>
      </c>
      <c r="G34" s="42"/>
      <c r="H34" s="43" t="s">
        <v>78</v>
      </c>
      <c r="I34" s="42"/>
      <c r="J34" s="14"/>
      <c r="K34" s="4"/>
      <c r="L34" s="185"/>
      <c r="N34" t="s">
        <v>107</v>
      </c>
    </row>
    <row r="35" spans="1:17" ht="21" customHeight="1" x14ac:dyDescent="0.25">
      <c r="A35" s="178" t="s">
        <v>33</v>
      </c>
      <c r="B35" s="180" t="s">
        <v>145</v>
      </c>
      <c r="C35" s="13" t="str">
        <f>IF(OR(C26="",C33=""),"add BP, FP",IF(AND(C33&lt;73,C26&lt;100),0.5,IF(OR(AND(C33&lt;73,C26&gt;=100),C33&lt;100),0.25,IF(C33&lt;200,0.1,IF(C33&gt;=200,0.01,0)))))</f>
        <v>add BP, FP</v>
      </c>
      <c r="D35" s="36" t="s">
        <v>74</v>
      </c>
      <c r="E35" s="83" t="str">
        <f>+IF(C35="","",C35)</f>
        <v>add BP, FP</v>
      </c>
      <c r="F35" s="37" t="s">
        <v>74</v>
      </c>
      <c r="G35" s="47"/>
      <c r="H35" s="38" t="s">
        <v>78</v>
      </c>
      <c r="I35" s="47"/>
      <c r="J35" s="21"/>
      <c r="K35" s="4"/>
      <c r="L35" s="185">
        <v>10</v>
      </c>
      <c r="N35" s="4">
        <v>1</v>
      </c>
      <c r="O35" s="62" t="s">
        <v>108</v>
      </c>
      <c r="P35" s="16">
        <f>+N35/0.01934</f>
        <v>51.706308169596689</v>
      </c>
      <c r="Q35" s="62" t="s">
        <v>35</v>
      </c>
    </row>
    <row r="36" spans="1:17" x14ac:dyDescent="0.25">
      <c r="A36" s="175" t="s">
        <v>151</v>
      </c>
      <c r="G36" s="46"/>
      <c r="H36" s="46"/>
      <c r="I36" s="46"/>
      <c r="K36" s="68"/>
      <c r="L36" s="62"/>
    </row>
    <row r="37" spans="1:17" ht="21" customHeight="1" x14ac:dyDescent="0.25">
      <c r="A37" s="181" t="s">
        <v>34</v>
      </c>
      <c r="B37" s="182" t="s">
        <v>150</v>
      </c>
      <c r="C37" s="82"/>
      <c r="D37" s="5" t="s">
        <v>35</v>
      </c>
      <c r="E37" s="84" t="str">
        <f>+IF(C37="","",C37)</f>
        <v/>
      </c>
      <c r="F37" s="5" t="s">
        <v>35</v>
      </c>
      <c r="G37" s="39" t="s">
        <v>78</v>
      </c>
      <c r="H37" s="48"/>
      <c r="I37" s="48"/>
      <c r="J37" s="5" t="s">
        <v>62</v>
      </c>
      <c r="K37" s="5"/>
      <c r="L37" s="155"/>
      <c r="N37" s="4">
        <v>1</v>
      </c>
      <c r="O37" s="62" t="s">
        <v>109</v>
      </c>
      <c r="P37" s="16">
        <f>+(N37*760)/101.325</f>
        <v>7.5006168270416973</v>
      </c>
      <c r="Q37" s="62" t="s">
        <v>35</v>
      </c>
    </row>
    <row r="38" spans="1:17" ht="21" customHeight="1" x14ac:dyDescent="0.25">
      <c r="A38" s="181" t="s">
        <v>36</v>
      </c>
      <c r="B38" s="181"/>
      <c r="C38" s="6"/>
      <c r="D38" s="5" t="s">
        <v>19</v>
      </c>
      <c r="E38" s="85" t="str">
        <f>+IF(C38="","",C38)</f>
        <v/>
      </c>
      <c r="F38" s="5" t="s">
        <v>19</v>
      </c>
      <c r="G38" s="49"/>
      <c r="H38" s="50" t="s">
        <v>79</v>
      </c>
      <c r="I38" s="49"/>
      <c r="J38" s="6"/>
      <c r="K38" s="5"/>
      <c r="L38" s="155"/>
      <c r="N38" s="4">
        <v>1</v>
      </c>
      <c r="O38" s="62" t="s">
        <v>110</v>
      </c>
      <c r="P38" s="16">
        <f>+(N38*76)/101.325</f>
        <v>0.75006168270416973</v>
      </c>
      <c r="Q38" s="62" t="s">
        <v>35</v>
      </c>
    </row>
    <row r="39" spans="1:17" ht="21" customHeight="1" x14ac:dyDescent="0.25">
      <c r="A39" s="181" t="s">
        <v>37</v>
      </c>
      <c r="B39" s="182" t="s">
        <v>146</v>
      </c>
      <c r="C39" s="81"/>
      <c r="D39" s="32" t="s">
        <v>81</v>
      </c>
      <c r="E39" s="86" t="str">
        <f>+IF(C39="","",C39)</f>
        <v/>
      </c>
      <c r="F39" s="32" t="s">
        <v>81</v>
      </c>
      <c r="G39" s="48"/>
      <c r="H39" s="39" t="s">
        <v>79</v>
      </c>
      <c r="I39" s="48"/>
      <c r="J39" s="32" t="s">
        <v>85</v>
      </c>
      <c r="K39" s="5"/>
      <c r="L39" s="155"/>
      <c r="N39" s="4">
        <v>1</v>
      </c>
      <c r="O39" s="62" t="s">
        <v>112</v>
      </c>
      <c r="P39" s="16">
        <f>+(N39*0.75006375541921)</f>
        <v>0.75006375541921</v>
      </c>
      <c r="Q39" s="62" t="s">
        <v>35</v>
      </c>
    </row>
    <row r="40" spans="1:17" ht="6" customHeight="1" x14ac:dyDescent="0.25"/>
    <row r="41" spans="1:17" x14ac:dyDescent="0.25">
      <c r="A41" s="62" t="s">
        <v>92</v>
      </c>
      <c r="B41" s="62"/>
    </row>
    <row r="44" spans="1:17" x14ac:dyDescent="0.25">
      <c r="A44" s="1" t="s">
        <v>156</v>
      </c>
    </row>
    <row r="45" spans="1:17" ht="28.2" customHeight="1" x14ac:dyDescent="0.25">
      <c r="A45" s="186" t="s">
        <v>170</v>
      </c>
      <c r="B45" s="186"/>
      <c r="C45" s="186"/>
      <c r="D45" s="186"/>
      <c r="E45" s="186"/>
      <c r="F45" s="186"/>
      <c r="G45" s="186"/>
      <c r="H45" s="186"/>
      <c r="I45" s="186"/>
      <c r="J45" s="186"/>
      <c r="K45" s="186"/>
      <c r="L45" s="186"/>
    </row>
    <row r="46" spans="1:17" ht="18" customHeight="1" x14ac:dyDescent="0.25">
      <c r="A46" s="187" t="s">
        <v>157</v>
      </c>
      <c r="B46" s="187"/>
      <c r="C46" s="187"/>
      <c r="D46" s="187"/>
      <c r="E46" s="187"/>
      <c r="F46" s="187"/>
      <c r="G46" s="187"/>
      <c r="H46" s="187"/>
      <c r="I46" s="187"/>
      <c r="J46" s="187"/>
      <c r="K46" s="187"/>
      <c r="L46" s="187"/>
    </row>
    <row r="47" spans="1:17" x14ac:dyDescent="0.25">
      <c r="A47" s="188" t="s">
        <v>158</v>
      </c>
      <c r="B47" s="188"/>
      <c r="C47" s="188"/>
      <c r="D47" s="188"/>
      <c r="E47" s="188"/>
      <c r="F47" s="188"/>
      <c r="G47" s="188"/>
      <c r="H47" s="188"/>
      <c r="I47" s="188"/>
      <c r="J47" s="188"/>
      <c r="K47" s="188"/>
      <c r="L47" s="188"/>
    </row>
    <row r="48" spans="1:17" ht="30.6" customHeight="1" x14ac:dyDescent="0.25">
      <c r="A48" s="186" t="s">
        <v>159</v>
      </c>
      <c r="B48" s="186"/>
      <c r="C48" s="186"/>
      <c r="D48" s="186"/>
      <c r="E48" s="186"/>
      <c r="F48" s="186"/>
      <c r="G48" s="186"/>
      <c r="H48" s="186"/>
      <c r="I48" s="186"/>
      <c r="J48" s="186"/>
      <c r="K48" s="186"/>
      <c r="L48" s="186"/>
    </row>
    <row r="49" spans="1:12" x14ac:dyDescent="0.25">
      <c r="A49" s="186" t="s">
        <v>160</v>
      </c>
      <c r="B49" s="186"/>
      <c r="C49" s="186"/>
      <c r="D49" s="186"/>
      <c r="E49" s="186"/>
      <c r="F49" s="186"/>
      <c r="G49" s="186"/>
      <c r="H49" s="186"/>
      <c r="I49" s="186"/>
      <c r="J49" s="186"/>
      <c r="K49" s="186"/>
      <c r="L49" s="186"/>
    </row>
    <row r="50" spans="1:12" x14ac:dyDescent="0.25">
      <c r="A50" s="186" t="s">
        <v>161</v>
      </c>
      <c r="B50" s="186"/>
      <c r="C50" s="186"/>
      <c r="D50" s="186"/>
      <c r="E50" s="186"/>
      <c r="F50" s="186"/>
      <c r="G50" s="186"/>
      <c r="H50" s="186"/>
      <c r="I50" s="186"/>
      <c r="J50" s="186"/>
      <c r="K50" s="186"/>
      <c r="L50" s="186"/>
    </row>
    <row r="51" spans="1:12" x14ac:dyDescent="0.25">
      <c r="A51" s="186" t="s">
        <v>162</v>
      </c>
      <c r="B51" s="186"/>
      <c r="C51" s="186"/>
      <c r="D51" s="186"/>
      <c r="E51" s="186"/>
      <c r="F51" s="186"/>
      <c r="G51" s="186"/>
      <c r="H51" s="186"/>
      <c r="I51" s="186"/>
      <c r="J51" s="186"/>
      <c r="K51" s="186"/>
      <c r="L51" s="186"/>
    </row>
    <row r="52" spans="1:12" x14ac:dyDescent="0.25">
      <c r="A52" s="186" t="s">
        <v>164</v>
      </c>
      <c r="B52" s="186"/>
      <c r="C52" s="186"/>
      <c r="D52" s="186"/>
      <c r="E52" s="186"/>
      <c r="F52" s="186"/>
      <c r="G52" s="186"/>
      <c r="H52" s="186"/>
      <c r="I52" s="186"/>
      <c r="J52" s="186"/>
      <c r="K52" s="186"/>
      <c r="L52" s="186"/>
    </row>
    <row r="53" spans="1:12" ht="81" customHeight="1" x14ac:dyDescent="0.25">
      <c r="A53" s="186" t="s">
        <v>165</v>
      </c>
      <c r="B53" s="186"/>
      <c r="C53" s="186"/>
      <c r="D53" s="186"/>
      <c r="E53" s="186"/>
      <c r="F53" s="186"/>
      <c r="G53" s="186"/>
      <c r="H53" s="186"/>
      <c r="I53" s="186"/>
      <c r="J53" s="186"/>
      <c r="K53" s="186"/>
      <c r="L53" s="186"/>
    </row>
    <row r="54" spans="1:12" x14ac:dyDescent="0.25">
      <c r="A54" s="186" t="s">
        <v>163</v>
      </c>
      <c r="B54" s="186"/>
      <c r="C54" s="186"/>
      <c r="D54" s="186"/>
      <c r="E54" s="186"/>
      <c r="F54" s="186"/>
      <c r="G54" s="186"/>
      <c r="H54" s="186"/>
      <c r="I54" s="186"/>
      <c r="J54" s="186"/>
      <c r="K54" s="186"/>
      <c r="L54" s="186"/>
    </row>
    <row r="55" spans="1:12" x14ac:dyDescent="0.25">
      <c r="A55" s="1"/>
      <c r="B55" s="1"/>
      <c r="D55" s="137"/>
      <c r="E55" s="142"/>
      <c r="F55" s="137"/>
      <c r="G55" s="138"/>
      <c r="H55" s="138"/>
      <c r="I55" s="139"/>
    </row>
    <row r="56" spans="1:12" x14ac:dyDescent="0.25">
      <c r="A56" s="1"/>
      <c r="B56" s="1"/>
      <c r="C56" s="135"/>
      <c r="D56" s="137"/>
      <c r="E56" s="135"/>
      <c r="F56" s="137"/>
      <c r="G56" s="138"/>
      <c r="H56" s="138"/>
      <c r="I56" s="138"/>
    </row>
    <row r="57" spans="1:12" x14ac:dyDescent="0.25">
      <c r="A57" s="1"/>
      <c r="B57" s="1"/>
      <c r="C57" s="142"/>
      <c r="D57" s="62"/>
      <c r="E57" s="142"/>
      <c r="F57" s="62"/>
      <c r="G57" s="143"/>
      <c r="H57" s="144"/>
      <c r="I57" s="143"/>
    </row>
    <row r="58" spans="1:12" x14ac:dyDescent="0.25">
      <c r="A58" s="1"/>
      <c r="B58" s="1"/>
      <c r="C58" s="145"/>
      <c r="D58" s="137"/>
      <c r="E58" s="145"/>
      <c r="F58" s="146"/>
      <c r="G58" s="147"/>
      <c r="H58" s="148"/>
      <c r="I58" s="148"/>
    </row>
    <row r="59" spans="1:12" x14ac:dyDescent="0.25">
      <c r="A59" s="1"/>
      <c r="B59" s="1"/>
      <c r="C59" s="149"/>
      <c r="D59" s="137"/>
      <c r="E59" s="149"/>
      <c r="F59" s="150"/>
      <c r="G59" s="151"/>
      <c r="H59" s="152"/>
      <c r="I59" s="152"/>
    </row>
    <row r="60" spans="1:12" x14ac:dyDescent="0.25">
      <c r="A60" s="1"/>
      <c r="B60" s="1"/>
      <c r="C60" s="145"/>
      <c r="E60" s="145"/>
      <c r="F60" s="145"/>
      <c r="G60" s="147"/>
      <c r="H60" s="148"/>
      <c r="I60" s="148"/>
    </row>
    <row r="61" spans="1:12" x14ac:dyDescent="0.25">
      <c r="G61" s="46"/>
      <c r="H61" s="46"/>
      <c r="I61" s="46"/>
    </row>
    <row r="62" spans="1:12" x14ac:dyDescent="0.25">
      <c r="A62" s="1"/>
      <c r="B62" s="1"/>
      <c r="C62" s="140"/>
      <c r="D62" s="62"/>
      <c r="E62" s="140"/>
      <c r="F62" s="141"/>
      <c r="G62" s="143"/>
      <c r="H62" s="144"/>
      <c r="I62" s="143"/>
    </row>
    <row r="63" spans="1:12" x14ac:dyDescent="0.25">
      <c r="A63" s="1"/>
      <c r="B63" s="1"/>
      <c r="C63" s="140"/>
      <c r="D63" s="62"/>
      <c r="E63" s="140"/>
      <c r="F63" s="141"/>
      <c r="G63" s="143"/>
      <c r="H63" s="144"/>
      <c r="I63" s="143"/>
    </row>
    <row r="64" spans="1:12" x14ac:dyDescent="0.25">
      <c r="A64" s="1"/>
      <c r="B64" s="1"/>
      <c r="C64" s="149"/>
      <c r="D64" s="137"/>
      <c r="E64" s="145"/>
      <c r="F64" s="153"/>
      <c r="G64" s="154"/>
      <c r="H64" s="136"/>
      <c r="I64" s="154"/>
    </row>
    <row r="65" spans="1:9" x14ac:dyDescent="0.25">
      <c r="A65" s="155"/>
      <c r="B65" s="155"/>
      <c r="C65" s="156"/>
      <c r="D65" s="155"/>
      <c r="E65" s="149"/>
      <c r="F65" s="155"/>
      <c r="G65" s="138"/>
      <c r="H65" s="157"/>
      <c r="I65" s="157"/>
    </row>
    <row r="66" spans="1:9" x14ac:dyDescent="0.25">
      <c r="A66" s="155"/>
      <c r="B66" s="155"/>
      <c r="C66" s="158"/>
      <c r="D66" s="155"/>
      <c r="E66" s="159"/>
      <c r="F66" s="155"/>
      <c r="G66" s="160"/>
      <c r="H66" s="161"/>
      <c r="I66" s="160"/>
    </row>
    <row r="67" spans="1:9" x14ac:dyDescent="0.25">
      <c r="A67" s="155"/>
      <c r="B67" s="155"/>
      <c r="C67" s="162"/>
      <c r="D67" s="62"/>
      <c r="E67" s="142"/>
      <c r="F67" s="62"/>
      <c r="G67" s="157"/>
      <c r="H67" s="138"/>
      <c r="I67" s="157"/>
    </row>
  </sheetData>
  <mergeCells count="10">
    <mergeCell ref="A45:L45"/>
    <mergeCell ref="A51:L51"/>
    <mergeCell ref="A52:L52"/>
    <mergeCell ref="A53:L53"/>
    <mergeCell ref="A54:L54"/>
    <mergeCell ref="A46:L46"/>
    <mergeCell ref="A47:L47"/>
    <mergeCell ref="A48:L48"/>
    <mergeCell ref="A49:L49"/>
    <mergeCell ref="A50:L50"/>
  </mergeCells>
  <phoneticPr fontId="2" type="noConversion"/>
  <conditionalFormatting sqref="G23:G27 G32 G37 G55 G60 G65">
    <cfRule type="expression" dxfId="18" priority="23">
      <formula>+IF(AND($B$19="Toxic",C23=""),1,0)</formula>
    </cfRule>
  </conditionalFormatting>
  <conditionalFormatting sqref="G30">
    <cfRule type="expression" dxfId="17" priority="28">
      <formula>+IF(AND(B19="Toxic",C30="add MW; VP"),1,0)</formula>
    </cfRule>
  </conditionalFormatting>
  <conditionalFormatting sqref="G31">
    <cfRule type="expression" dxfId="16" priority="29">
      <formula>+IF(AND(B19="Toxic",C31="add MW; BP"),1,0)</formula>
    </cfRule>
  </conditionalFormatting>
  <conditionalFormatting sqref="G58">
    <cfRule type="expression" dxfId="15" priority="7">
      <formula>+IF(AND(C47="Toxic",C58="add MW; VP"),1,0)</formula>
    </cfRule>
  </conditionalFormatting>
  <conditionalFormatting sqref="G59">
    <cfRule type="expression" dxfId="14" priority="6">
      <formula>+IF(AND(C47="Toxic",C59="add MW; BP"),1,0)</formula>
    </cfRule>
  </conditionalFormatting>
  <conditionalFormatting sqref="H23:H27 H29 H33:H34 H38:H39 H55 H57 H62:H63 H66:H67">
    <cfRule type="expression" dxfId="13" priority="31">
      <formula>+IF(AND($B$19="Flammable",C23=""),1,0)</formula>
    </cfRule>
  </conditionalFormatting>
  <conditionalFormatting sqref="H28 H56">
    <cfRule type="expression" dxfId="12" priority="38">
      <formula>+IF(AND($B$19="Flammable",C28="add HCF,HV,Cp"),1,0)</formula>
    </cfRule>
  </conditionalFormatting>
  <conditionalFormatting sqref="H35 H64">
    <cfRule type="expression" dxfId="11" priority="39">
      <formula>+IF(AND($B$19="Flammable",C35="add BP, FP"),1,0)</formula>
    </cfRule>
  </conditionalFormatting>
  <conditionalFormatting sqref="I23:I24">
    <cfRule type="expression" dxfId="10" priority="43">
      <formula>+IF(AND($B$19="Reactive",C23=""),1,0)</formula>
    </cfRule>
  </conditionalFormatting>
  <conditionalFormatting sqref="I28 I56">
    <cfRule type="expression" dxfId="9" priority="44">
      <formula>+IF(AND($B$19="Reactive",C28="add HCF,HV,Cp"),1,0)</formula>
    </cfRule>
  </conditionalFormatting>
  <dataValidations count="8">
    <dataValidation type="list" allowBlank="1" showInputMessage="1" showErrorMessage="1" sqref="J32" xr:uid="{00000000-0002-0000-0000-000000000000}">
      <formula1>EndPtBasis</formula1>
    </dataValidation>
    <dataValidation type="list" allowBlank="1" showInputMessage="1" showErrorMessage="1" sqref="K28 K30:K31" xr:uid="{00000000-0002-0000-0000-000001000000}">
      <formula1>PFFBasis</formula1>
    </dataValidation>
    <dataValidation allowBlank="1" showInputMessage="1" showErrorMessage="1" promptTitle="Liquid Factor Ambient" prompt="Used for liquids that are evaporating" sqref="A30:B30 A58:B58" xr:uid="{00000000-0002-0000-0000-000002000000}"/>
    <dataValidation type="list" allowBlank="1" showInputMessage="1" showErrorMessage="1" promptTitle="Buoyancy" prompt="Typically buoyant if MW is less than 28, otherwise, neutral or dense_x000a_" sqref="C27 C55" xr:uid="{00000000-0002-0000-0000-000003000000}">
      <formula1>Buoy</formula1>
    </dataValidation>
    <dataValidation type="list" allowBlank="1" showInputMessage="1" showErrorMessage="1" sqref="B19" xr:uid="{00000000-0002-0000-0000-000004000000}">
      <formula1>type</formula1>
    </dataValidation>
    <dataValidation allowBlank="1" showInputMessage="1" showErrorMessage="1" promptTitle="Heat of Combustion" prompt="J/kg" sqref="A29:B29 A57:B57" xr:uid="{00000000-0002-0000-0000-000005000000}"/>
    <dataValidation allowBlank="1" showInputMessage="1" showErrorMessage="1" promptTitle="Pool Fire Factor" prompt="Determines distance to injury from pool fire" sqref="A28:B28 A56:B56" xr:uid="{00000000-0002-0000-0000-000006000000}"/>
    <dataValidation type="textLength" operator="lessThanOrEqual" allowBlank="1" showInputMessage="1" showErrorMessage="1" error="Fluid name shall only have 30 characters or less." sqref="B18" xr:uid="{00000000-0002-0000-0000-000007000000}">
      <formula1>30</formula1>
    </dataValidation>
  </dataValidations>
  <printOptions gridLines="1"/>
  <pageMargins left="0.5" right="0.5" top="1" bottom="1" header="0.5" footer="0.5"/>
  <pageSetup scale="63" orientation="landscape" r:id="rId1"/>
  <headerFooter alignWithMargins="0">
    <oddHeader>&amp;C&amp;F</oddHeader>
    <oddFooter>&amp;L&amp;D&amp;R&amp;F</oddFooter>
  </headerFooter>
  <drawing r:id="rId2"/>
  <legacyDrawing r:id="rId3"/>
  <oleObjects>
    <mc:AlternateContent xmlns:mc="http://schemas.openxmlformats.org/markup-compatibility/2006">
      <mc:Choice Requires="x14">
        <oleObject progId="Equation.3" shapeId="2049" r:id="rId4">
          <objectPr defaultSize="0" autoPict="0" r:id="rId5">
            <anchor moveWithCells="1">
              <from>
                <xdr:col>17</xdr:col>
                <xdr:colOff>137160</xdr:colOff>
                <xdr:row>31</xdr:row>
                <xdr:rowOff>236220</xdr:rowOff>
              </from>
              <to>
                <xdr:col>21</xdr:col>
                <xdr:colOff>335280</xdr:colOff>
                <xdr:row>33</xdr:row>
                <xdr:rowOff>198120</xdr:rowOff>
              </to>
            </anchor>
          </objectPr>
        </oleObject>
      </mc:Choice>
      <mc:Fallback>
        <oleObject progId="Equation.3"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8"/>
  <sheetViews>
    <sheetView workbookViewId="0">
      <selection activeCell="K10" sqref="K10"/>
    </sheetView>
  </sheetViews>
  <sheetFormatPr defaultRowHeight="13.2" x14ac:dyDescent="0.25"/>
  <cols>
    <col min="1" max="3" width="2.6640625" customWidth="1"/>
    <col min="4" max="4" width="22" customWidth="1"/>
    <col min="5" max="5" width="14.5546875" customWidth="1"/>
    <col min="6" max="6" width="7.6640625" customWidth="1"/>
    <col min="7" max="7" width="16.109375" customWidth="1"/>
    <col min="8" max="8" width="14.5546875" customWidth="1"/>
    <col min="9" max="9" width="7.6640625" customWidth="1"/>
    <col min="10" max="10" width="14.88671875" customWidth="1"/>
    <col min="11" max="11" width="14.5546875" customWidth="1"/>
    <col min="12" max="12" width="7.6640625" customWidth="1"/>
    <col min="13" max="13" width="14.5546875" customWidth="1"/>
    <col min="14" max="14" width="7.6640625" customWidth="1"/>
    <col min="15" max="15" width="50.44140625" bestFit="1" customWidth="1"/>
  </cols>
  <sheetData>
    <row r="1" spans="1:15" x14ac:dyDescent="0.25">
      <c r="D1" s="62" t="s">
        <v>167</v>
      </c>
    </row>
    <row r="2" spans="1:15" x14ac:dyDescent="0.25">
      <c r="D2" s="62" t="s">
        <v>123</v>
      </c>
    </row>
    <row r="3" spans="1:15" x14ac:dyDescent="0.25">
      <c r="D3" s="64" t="s">
        <v>40</v>
      </c>
      <c r="E3" s="60" t="s">
        <v>86</v>
      </c>
    </row>
    <row r="4" spans="1:15" x14ac:dyDescent="0.25">
      <c r="D4" s="7" t="s">
        <v>41</v>
      </c>
      <c r="E4" s="60" t="s">
        <v>88</v>
      </c>
    </row>
    <row r="5" spans="1:15" x14ac:dyDescent="0.25">
      <c r="D5" s="32" t="s">
        <v>124</v>
      </c>
      <c r="E5" s="60" t="s">
        <v>125</v>
      </c>
    </row>
    <row r="6" spans="1:15" x14ac:dyDescent="0.25">
      <c r="D6" s="62" t="s">
        <v>129</v>
      </c>
      <c r="E6" s="60"/>
    </row>
    <row r="7" spans="1:15" x14ac:dyDescent="0.25">
      <c r="D7" s="62" t="s">
        <v>168</v>
      </c>
      <c r="E7" s="60"/>
    </row>
    <row r="8" spans="1:15" ht="13.8" thickBot="1" x14ac:dyDescent="0.3"/>
    <row r="9" spans="1:15" ht="13.8" thickBot="1" x14ac:dyDescent="0.3">
      <c r="E9" s="127" t="s">
        <v>114</v>
      </c>
      <c r="F9" s="128"/>
      <c r="G9" s="129"/>
      <c r="H9" s="130" t="s">
        <v>115</v>
      </c>
      <c r="I9" s="128"/>
      <c r="J9" s="128"/>
      <c r="K9" s="134" t="s">
        <v>169</v>
      </c>
      <c r="L9" s="128"/>
      <c r="M9" s="128"/>
      <c r="N9" s="129"/>
    </row>
    <row r="10" spans="1:15" ht="18.600000000000001" thickBot="1" x14ac:dyDescent="0.3">
      <c r="A10" s="88"/>
      <c r="B10" s="88"/>
      <c r="C10" s="88"/>
      <c r="D10" s="118" t="s">
        <v>0</v>
      </c>
      <c r="E10" s="171"/>
      <c r="F10" s="87"/>
      <c r="G10" s="89"/>
      <c r="H10" s="170"/>
      <c r="I10" s="87"/>
      <c r="K10" s="79" t="str">
        <f>+IF(K11&lt;&gt;100,"Summarized percentages should be 100%","")</f>
        <v>Summarized percentages should be 100%</v>
      </c>
      <c r="L10" s="72"/>
      <c r="M10" s="72"/>
      <c r="N10" s="73"/>
    </row>
    <row r="11" spans="1:15" ht="14.25" customHeight="1" x14ac:dyDescent="0.25">
      <c r="A11" s="88"/>
      <c r="B11" s="88"/>
      <c r="C11" s="88"/>
      <c r="D11" s="119" t="s">
        <v>117</v>
      </c>
      <c r="E11" s="168"/>
      <c r="F11" s="90" t="s">
        <v>130</v>
      </c>
      <c r="G11" s="123"/>
      <c r="H11" s="169"/>
      <c r="I11" s="90" t="s">
        <v>118</v>
      </c>
      <c r="K11" s="174">
        <f>+H11+E11</f>
        <v>0</v>
      </c>
      <c r="L11" s="62" t="s">
        <v>118</v>
      </c>
      <c r="N11" s="75"/>
      <c r="O11" s="62"/>
    </row>
    <row r="12" spans="1:15" x14ac:dyDescent="0.25">
      <c r="A12" s="29"/>
      <c r="B12" s="29"/>
      <c r="C12" s="29"/>
      <c r="D12" s="120" t="s">
        <v>2</v>
      </c>
      <c r="E12" s="124"/>
      <c r="F12" s="51"/>
      <c r="G12" s="125"/>
      <c r="H12" s="121"/>
      <c r="I12" s="29"/>
      <c r="K12" s="174" t="str">
        <f>+IF(OR(E12="flammable",H12="flammable"),"Flammable",IF(OR(E12="",H12=""),"","Inert"))</f>
        <v/>
      </c>
      <c r="L12" t="str">
        <f>+IF(AND(K12="Flammable",K21=0),"Review input because PFF=0","")</f>
        <v/>
      </c>
      <c r="N12" s="75"/>
    </row>
    <row r="13" spans="1:15" ht="13.8" thickBot="1" x14ac:dyDescent="0.3">
      <c r="D13" s="115" t="s">
        <v>1</v>
      </c>
      <c r="E13" s="126"/>
      <c r="F13" s="77"/>
      <c r="G13" s="78"/>
      <c r="H13" s="122"/>
      <c r="K13" s="80"/>
      <c r="L13" s="77"/>
      <c r="M13" s="77"/>
      <c r="N13" s="78"/>
    </row>
    <row r="14" spans="1:15" x14ac:dyDescent="0.25">
      <c r="E14" s="92" t="s">
        <v>68</v>
      </c>
      <c r="F14" s="93"/>
      <c r="G14" s="94"/>
      <c r="H14" s="92" t="s">
        <v>68</v>
      </c>
      <c r="I14" s="93"/>
      <c r="J14" s="111"/>
      <c r="K14" s="131" t="s">
        <v>68</v>
      </c>
      <c r="L14" s="132"/>
      <c r="M14" s="133" t="s">
        <v>69</v>
      </c>
      <c r="N14" s="132"/>
      <c r="O14" s="111"/>
    </row>
    <row r="15" spans="1:15" x14ac:dyDescent="0.25">
      <c r="A15" s="1" t="s">
        <v>76</v>
      </c>
      <c r="B15" s="1" t="s">
        <v>75</v>
      </c>
      <c r="C15" s="1" t="s">
        <v>77</v>
      </c>
      <c r="E15" s="95" t="s">
        <v>12</v>
      </c>
      <c r="F15" s="26" t="s">
        <v>66</v>
      </c>
      <c r="G15" s="96" t="s">
        <v>116</v>
      </c>
      <c r="H15" s="95" t="s">
        <v>67</v>
      </c>
      <c r="I15" s="26" t="s">
        <v>66</v>
      </c>
      <c r="J15" s="96" t="s">
        <v>116</v>
      </c>
      <c r="K15" s="112" t="s">
        <v>67</v>
      </c>
      <c r="L15" s="26" t="s">
        <v>66</v>
      </c>
      <c r="M15" s="26" t="s">
        <v>67</v>
      </c>
      <c r="N15" s="26" t="s">
        <v>66</v>
      </c>
      <c r="O15" s="96" t="s">
        <v>116</v>
      </c>
    </row>
    <row r="16" spans="1:15" x14ac:dyDescent="0.25">
      <c r="A16" s="38" t="s">
        <v>78</v>
      </c>
      <c r="B16" s="38" t="s">
        <v>78</v>
      </c>
      <c r="C16" s="38" t="s">
        <v>78</v>
      </c>
      <c r="D16" s="91" t="s">
        <v>7</v>
      </c>
      <c r="E16" s="164"/>
      <c r="F16" s="32" t="s">
        <v>70</v>
      </c>
      <c r="G16" s="98"/>
      <c r="H16" s="97"/>
      <c r="I16" s="32" t="s">
        <v>70</v>
      </c>
      <c r="J16" s="99"/>
      <c r="K16" s="172" t="str">
        <f>+IF(AND(ISNUMBER(E16),ISNUMBER(H16),K$11=100),(E$11*E16+H$11*H16)/100,"enter value fluids")</f>
        <v>enter value fluids</v>
      </c>
      <c r="L16" s="32" t="s">
        <v>70</v>
      </c>
      <c r="M16" s="63" t="str">
        <f>+IF(ISNUMBER(K16),K16,"enter value fluids")</f>
        <v>enter value fluids</v>
      </c>
      <c r="N16" s="21" t="str">
        <f>+L16</f>
        <v>g/mol</v>
      </c>
      <c r="O16" s="99" t="s">
        <v>119</v>
      </c>
    </row>
    <row r="17" spans="1:15" x14ac:dyDescent="0.25">
      <c r="A17" s="38" t="s">
        <v>78</v>
      </c>
      <c r="B17" s="38" t="s">
        <v>78</v>
      </c>
      <c r="C17" s="38" t="s">
        <v>78</v>
      </c>
      <c r="D17" s="91" t="s">
        <v>8</v>
      </c>
      <c r="E17" s="97"/>
      <c r="F17" s="4" t="s">
        <v>9</v>
      </c>
      <c r="G17" s="99"/>
      <c r="H17" s="97"/>
      <c r="I17" s="4" t="s">
        <v>9</v>
      </c>
      <c r="J17" s="99"/>
      <c r="K17" s="163" t="str">
        <f>+IF(AND(ISNUMBER(E17),ISNUMBER(H17),K$11=100),(E$11*E17+H$11*H17)/100,"enter value fluids")</f>
        <v>enter value fluids</v>
      </c>
      <c r="L17" s="4" t="s">
        <v>9</v>
      </c>
      <c r="M17" s="63" t="str">
        <f>+IF(ISNUMBER(K17),K17/62.42796,"enter value fluids")</f>
        <v>enter value fluids</v>
      </c>
      <c r="N17" s="34" t="s">
        <v>71</v>
      </c>
      <c r="O17" s="99" t="s">
        <v>119</v>
      </c>
    </row>
    <row r="18" spans="1:15" x14ac:dyDescent="0.25">
      <c r="A18" s="39" t="s">
        <v>78</v>
      </c>
      <c r="B18" s="39" t="s">
        <v>78</v>
      </c>
      <c r="C18" s="40"/>
      <c r="D18" s="91" t="s">
        <v>10</v>
      </c>
      <c r="E18" s="100"/>
      <c r="F18" s="36" t="s">
        <v>74</v>
      </c>
      <c r="G18" s="101"/>
      <c r="H18" s="100"/>
      <c r="I18" s="36" t="s">
        <v>74</v>
      </c>
      <c r="J18" s="99"/>
      <c r="K18" s="163" t="str">
        <f>+IF(AND(ISNUMBER(E18),ISNUMBER(H18),K$11=100),(E$11*E18+H$11*H18)/100,"enter value fluids")</f>
        <v>enter value fluids</v>
      </c>
      <c r="L18" s="36" t="s">
        <v>74</v>
      </c>
      <c r="M18" s="65" t="str">
        <f>+IF(ISNUMBER(K18),K18,"enter value fluids")</f>
        <v>enter value fluids</v>
      </c>
      <c r="N18" s="36" t="s">
        <v>74</v>
      </c>
      <c r="O18" s="99" t="s">
        <v>119</v>
      </c>
    </row>
    <row r="19" spans="1:15" x14ac:dyDescent="0.25">
      <c r="A19" s="41" t="s">
        <v>78</v>
      </c>
      <c r="B19" s="41" t="s">
        <v>78</v>
      </c>
      <c r="C19" s="41"/>
      <c r="D19" s="91" t="s">
        <v>126</v>
      </c>
      <c r="E19" s="102"/>
      <c r="F19" s="32" t="s">
        <v>75</v>
      </c>
      <c r="G19" s="98"/>
      <c r="H19" s="102"/>
      <c r="I19" s="32" t="s">
        <v>75</v>
      </c>
      <c r="J19" s="99"/>
      <c r="K19" s="173" t="str">
        <f>+IF(AND(ISNUMBER(E19),ISNUMBER(H19),K$11=100),(E$11*E19+H$11*H19)/100,"enter value fluids")</f>
        <v>enter value fluids</v>
      </c>
      <c r="L19" s="32" t="s">
        <v>75</v>
      </c>
      <c r="M19" s="65" t="str">
        <f>+IF(K19="enter value fluids","enter value fluids",(0.555555555555556)*(K19-32))</f>
        <v>enter value fluids</v>
      </c>
      <c r="N19" s="35" t="s">
        <v>104</v>
      </c>
      <c r="O19" s="99" t="s">
        <v>119</v>
      </c>
    </row>
    <row r="20" spans="1:15" x14ac:dyDescent="0.25">
      <c r="A20" s="39" t="s">
        <v>78</v>
      </c>
      <c r="B20" s="39" t="s">
        <v>78</v>
      </c>
      <c r="C20" s="40"/>
      <c r="D20" s="91" t="s">
        <v>13</v>
      </c>
      <c r="E20" s="103"/>
      <c r="F20" s="36" t="s">
        <v>74</v>
      </c>
      <c r="G20" s="101"/>
      <c r="H20" s="103"/>
      <c r="I20" s="36" t="s">
        <v>74</v>
      </c>
      <c r="J20" s="99"/>
      <c r="K20" s="114" t="str">
        <f>+IF(OR(H20="Buoyant",E20="Buoyant"),"Buoyant","Dense")</f>
        <v>Dense</v>
      </c>
      <c r="L20" s="36" t="s">
        <v>74</v>
      </c>
      <c r="M20" s="66" t="str">
        <f>+IF(K20="","",K20)</f>
        <v>Dense</v>
      </c>
      <c r="N20" s="36" t="s">
        <v>74</v>
      </c>
      <c r="O20" s="99" t="s">
        <v>15</v>
      </c>
    </row>
    <row r="21" spans="1:15" x14ac:dyDescent="0.25">
      <c r="A21" s="39"/>
      <c r="B21" s="39" t="s">
        <v>78</v>
      </c>
      <c r="C21" s="39"/>
      <c r="D21" s="91" t="s">
        <v>16</v>
      </c>
      <c r="E21" s="97"/>
      <c r="F21" s="36" t="s">
        <v>74</v>
      </c>
      <c r="G21" s="101"/>
      <c r="H21" s="97"/>
      <c r="I21" s="36" t="s">
        <v>74</v>
      </c>
      <c r="J21" s="99"/>
      <c r="K21" s="167" t="str">
        <f>+IF(AND(E$12="flammable",H$12="flammable",K$11=100,ISNUMBER(E21)),(E$11*E21+H$11*H21)/100,IF(AND(E$12="flammable",H$12="inert",K$11=100),E21,IF(AND(E$12="inert",H$12="flammable",K$11=100),H21,IF(AND(E12="Inert",H12="Inert"),0,"review input"))))</f>
        <v>review input</v>
      </c>
      <c r="L21" s="36" t="s">
        <v>74</v>
      </c>
      <c r="M21" s="65" t="str">
        <f>+K21</f>
        <v>review input</v>
      </c>
      <c r="N21" s="36" t="s">
        <v>74</v>
      </c>
      <c r="O21" s="99" t="s">
        <v>120</v>
      </c>
    </row>
    <row r="22" spans="1:15" x14ac:dyDescent="0.25">
      <c r="A22" s="42"/>
      <c r="B22" s="43" t="s">
        <v>78</v>
      </c>
      <c r="C22" s="42"/>
      <c r="D22" s="91" t="s">
        <v>22</v>
      </c>
      <c r="E22" s="105"/>
      <c r="F22" s="32" t="s">
        <v>83</v>
      </c>
      <c r="G22" s="98"/>
      <c r="H22" s="105"/>
      <c r="I22" s="32" t="s">
        <v>83</v>
      </c>
      <c r="J22" s="99"/>
      <c r="K22" s="166">
        <f>+IF(AND(E$12="flammable",H$12="flammable",K$11=100),(E$11*E22+H$11*H22)/100,IF(AND(E$12="flammable",H$12="inert",K$11=100),(E$11*E22)/100,IF(AND(E$12="inert",H$12="flammable",K$11=100),(H$11*H22)/100,0)))</f>
        <v>0</v>
      </c>
      <c r="L22" s="32" t="s">
        <v>83</v>
      </c>
      <c r="M22" s="66">
        <f>+IF(K22="","",K22)</f>
        <v>0</v>
      </c>
      <c r="N22" s="32" t="s">
        <v>83</v>
      </c>
      <c r="O22" s="99" t="s">
        <v>121</v>
      </c>
    </row>
    <row r="23" spans="1:15" x14ac:dyDescent="0.25">
      <c r="A23" s="54" t="s">
        <v>78</v>
      </c>
      <c r="B23" s="55"/>
      <c r="C23" s="55"/>
      <c r="D23" s="91" t="s">
        <v>21</v>
      </c>
      <c r="E23" s="106"/>
      <c r="F23" s="36" t="s">
        <v>74</v>
      </c>
      <c r="G23" s="101"/>
      <c r="H23" s="106"/>
      <c r="I23" s="36" t="s">
        <v>74</v>
      </c>
      <c r="J23" s="99"/>
      <c r="K23" s="113"/>
      <c r="L23" s="36" t="s">
        <v>74</v>
      </c>
      <c r="M23" s="116"/>
      <c r="N23" s="52" t="s">
        <v>74</v>
      </c>
      <c r="O23" s="99"/>
    </row>
    <row r="24" spans="1:15" x14ac:dyDescent="0.25">
      <c r="A24" s="56" t="s">
        <v>78</v>
      </c>
      <c r="B24" s="57"/>
      <c r="C24" s="57"/>
      <c r="D24" s="91" t="s">
        <v>23</v>
      </c>
      <c r="E24" s="107"/>
      <c r="F24" s="36" t="s">
        <v>74</v>
      </c>
      <c r="G24" s="101"/>
      <c r="H24" s="107"/>
      <c r="I24" s="36" t="s">
        <v>74</v>
      </c>
      <c r="J24" s="99"/>
      <c r="K24" s="113"/>
      <c r="L24" s="36" t="s">
        <v>74</v>
      </c>
      <c r="M24" s="117"/>
      <c r="N24" s="53" t="s">
        <v>74</v>
      </c>
      <c r="O24" s="99"/>
    </row>
    <row r="25" spans="1:15" x14ac:dyDescent="0.25">
      <c r="A25" s="44" t="s">
        <v>78</v>
      </c>
      <c r="B25" s="45"/>
      <c r="C25" s="45"/>
      <c r="D25" s="91" t="s">
        <v>91</v>
      </c>
      <c r="E25" s="106"/>
      <c r="F25" s="4" t="s">
        <v>82</v>
      </c>
      <c r="G25" s="108"/>
      <c r="H25" s="106"/>
      <c r="I25" s="4" t="s">
        <v>82</v>
      </c>
      <c r="J25" s="99"/>
      <c r="K25" s="113"/>
      <c r="L25" s="4" t="s">
        <v>82</v>
      </c>
      <c r="M25" s="116" t="str">
        <f>+IF(K25="","",K25)</f>
        <v/>
      </c>
      <c r="N25" s="28" t="str">
        <f>+L25</f>
        <v>mg/l</v>
      </c>
      <c r="O25" s="99"/>
    </row>
    <row r="26" spans="1:15" x14ac:dyDescent="0.25">
      <c r="A26" s="42"/>
      <c r="B26" s="43" t="s">
        <v>78</v>
      </c>
      <c r="C26" s="42"/>
      <c r="D26" s="91" t="s">
        <v>127</v>
      </c>
      <c r="E26" s="102"/>
      <c r="F26" s="32" t="s">
        <v>75</v>
      </c>
      <c r="G26" s="98"/>
      <c r="H26" s="102"/>
      <c r="I26" s="32" t="s">
        <v>75</v>
      </c>
      <c r="J26" s="99"/>
      <c r="K26" s="114">
        <f>+IF(AND(E$12="flammable",H$12="flammable",K$11=100),MIN(H26,E26),IF(AND(E$12="flammable",H$12="inert",K$11=100),E26,IF(AND(E$12="inert",H$12="flammable",K$11=100),H26,0)))</f>
        <v>0</v>
      </c>
      <c r="L26" s="32" t="s">
        <v>75</v>
      </c>
      <c r="M26" s="65">
        <f>+IF(OR(AND(E$12="inert",H$12="inert"),AND(E26="",H26="")),0,IF(K26="","",(0.555555555555556)*(K26-32)))</f>
        <v>0</v>
      </c>
      <c r="N26" s="35" t="s">
        <v>104</v>
      </c>
      <c r="O26" s="99" t="s">
        <v>122</v>
      </c>
    </row>
    <row r="27" spans="1:15" x14ac:dyDescent="0.25">
      <c r="A27" s="42"/>
      <c r="B27" s="43" t="s">
        <v>78</v>
      </c>
      <c r="C27" s="42"/>
      <c r="D27" s="91" t="s">
        <v>32</v>
      </c>
      <c r="E27" s="102"/>
      <c r="F27" s="32" t="s">
        <v>75</v>
      </c>
      <c r="G27" s="98"/>
      <c r="H27" s="102"/>
      <c r="I27" s="32" t="s">
        <v>75</v>
      </c>
      <c r="J27" s="99"/>
      <c r="K27" s="114">
        <f>+IF(AND(E$12="flammable",H$12="flammable",K$11=100),MIN(H27,E27),IF(AND(E$12="flammable",H$12="inert",K$11=100),E27,IF(AND(E$12="inert",H$12="flammable",K$11=100),H27,0)))</f>
        <v>0</v>
      </c>
      <c r="L27" s="32" t="s">
        <v>75</v>
      </c>
      <c r="M27" s="65">
        <f>+IF(OR(AND(E$12="inert",H$12="inert"),AND(E27="",H27="")),0,IF(K27="","",(0.555555555555556)*(K27-32)))</f>
        <v>0</v>
      </c>
      <c r="N27" s="35" t="s">
        <v>104</v>
      </c>
      <c r="O27" s="99" t="s">
        <v>122</v>
      </c>
    </row>
    <row r="28" spans="1:15" x14ac:dyDescent="0.25">
      <c r="A28" s="47"/>
      <c r="B28" s="38" t="s">
        <v>78</v>
      </c>
      <c r="C28" s="47"/>
      <c r="D28" s="91" t="s">
        <v>33</v>
      </c>
      <c r="E28" s="109" t="str">
        <f>IF(OR(E19="",E26=""),"add BP, FP",IF(AND(E26&lt;73,E19&lt;100),0.5,IF(OR(AND(E26&lt;73,E19&gt;=100),E26&lt;100),0.25,IF(E26&lt;200,0.1,IF(E26&gt;=200,0.01,0)))))</f>
        <v>add BP, FP</v>
      </c>
      <c r="F28" s="36" t="s">
        <v>74</v>
      </c>
      <c r="G28" s="110"/>
      <c r="H28" s="109" t="str">
        <f>IF(OR(H19="",H26=""),"add BP, FP",IF(AND(H26&lt;73,H19&lt;100),0.5,IF(OR(AND(H26&lt;73,H19&gt;=100),H26&lt;100),0.25,IF(H26&lt;200,0.1,IF(H26&gt;=200,0.01,0)))))</f>
        <v>add BP, FP</v>
      </c>
      <c r="I28" s="36" t="s">
        <v>74</v>
      </c>
      <c r="J28" s="99"/>
      <c r="K28" s="104" t="str">
        <f>IF(AND(E12="inert",H12="inert"),0,IF(OR(K19="enter value fluids",K26=""),"add BP, FP",IF(AND(K26&lt;73,K19&lt;100),0.5,IF(OR(AND(K26&lt;73,K19&gt;=100),K26&lt;100),0.25,IF(K26&lt;200,0.1,IF(K26&gt;=200,0.01,0))))))</f>
        <v>add BP, FP</v>
      </c>
      <c r="L28" s="36" t="s">
        <v>74</v>
      </c>
      <c r="M28" s="165" t="str">
        <f>+IF(K28="","",K28)</f>
        <v>add BP, FP</v>
      </c>
      <c r="N28" s="37" t="s">
        <v>74</v>
      </c>
      <c r="O28" s="98" t="s">
        <v>128</v>
      </c>
    </row>
  </sheetData>
  <conditionalFormatting sqref="A16:A20 A25">
    <cfRule type="expression" dxfId="8" priority="12">
      <formula>+IF(AND(#REF!="Toxic",#REF!=""),1,0)</formula>
    </cfRule>
  </conditionalFormatting>
  <conditionalFormatting sqref="A23">
    <cfRule type="expression" dxfId="7" priority="10">
      <formula>+IF(AND(#REF!="Toxic",#REF!="add MW; VP"),1,0)</formula>
    </cfRule>
  </conditionalFormatting>
  <conditionalFormatting sqref="A24">
    <cfRule type="expression" dxfId="6" priority="9">
      <formula>+IF(AND(#REF!="Toxic",#REF!="add MW; BP"),1,0)</formula>
    </cfRule>
  </conditionalFormatting>
  <conditionalFormatting sqref="B16:B20 B22 B26:B27">
    <cfRule type="expression" dxfId="5" priority="15">
      <formula>+IF(AND(#REF!="Flammable",#REF!=""),1,0)</formula>
    </cfRule>
  </conditionalFormatting>
  <conditionalFormatting sqref="B21">
    <cfRule type="expression" dxfId="4" priority="19">
      <formula>+IF(AND(#REF!="Flammable",#REF!="add HCF,HV,Cp"),1,0)</formula>
    </cfRule>
  </conditionalFormatting>
  <conditionalFormatting sqref="B28">
    <cfRule type="expression" dxfId="3" priority="22">
      <formula>+IF(AND(#REF!="Flammable",#REF!="add BP, FP"),1,0)</formula>
    </cfRule>
  </conditionalFormatting>
  <conditionalFormatting sqref="C16:C17">
    <cfRule type="expression" dxfId="2" priority="20">
      <formula>+IF(AND(#REF!="Reactive",#REF!=""),1,0)</formula>
    </cfRule>
  </conditionalFormatting>
  <conditionalFormatting sqref="C21">
    <cfRule type="expression" dxfId="1" priority="21">
      <formula>+IF(AND(#REF!="Reactive",#REF!="add HCF,HV,Cp"),1,0)</formula>
    </cfRule>
  </conditionalFormatting>
  <conditionalFormatting sqref="K11">
    <cfRule type="expression" dxfId="0" priority="3">
      <formula>+IF($K$11&lt;&gt;100,1,0)</formula>
    </cfRule>
  </conditionalFormatting>
  <dataValidations count="6">
    <dataValidation type="textLength" operator="lessThanOrEqual" allowBlank="1" showInputMessage="1" showErrorMessage="1" error="Fluid name shall only have 30 characters or less." sqref="E10:E11" xr:uid="{00000000-0002-0000-0100-000000000000}">
      <formula1>30</formula1>
    </dataValidation>
    <dataValidation allowBlank="1" showInputMessage="1" showErrorMessage="1" promptTitle="Pool Fire Factor" prompt="Determines distance to injury from pool fire" sqref="D21" xr:uid="{00000000-0002-0000-0100-000001000000}"/>
    <dataValidation allowBlank="1" showInputMessage="1" showErrorMessage="1" promptTitle="Heat of Combustion" prompt="J/kg" sqref="D22" xr:uid="{00000000-0002-0000-0100-000002000000}"/>
    <dataValidation type="list" allowBlank="1" showInputMessage="1" showErrorMessage="1" promptTitle="Buoyancy" prompt="Typically buoyant if MW is less than 28, otherwise, neutral or dense_x000a_" sqref="E20 H20" xr:uid="{00000000-0002-0000-0100-000003000000}">
      <formula1>Buoy</formula1>
    </dataValidation>
    <dataValidation allowBlank="1" showInputMessage="1" showErrorMessage="1" promptTitle="Liquid Factor Ambient" prompt="Used for liquids that are evaporating" sqref="D23" xr:uid="{00000000-0002-0000-0100-000004000000}"/>
    <dataValidation type="list" allowBlank="1" showInputMessage="1" showErrorMessage="1" sqref="E12 H12" xr:uid="{00000000-0002-0000-0100-000005000000}">
      <formula1>Mixtures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I28"/>
  <sheetViews>
    <sheetView workbookViewId="0">
      <selection activeCell="H8" sqref="H8"/>
    </sheetView>
  </sheetViews>
  <sheetFormatPr defaultRowHeight="13.2" x14ac:dyDescent="0.25"/>
  <cols>
    <col min="8" max="8" width="11" bestFit="1" customWidth="1"/>
  </cols>
  <sheetData>
    <row r="3" spans="2:9" x14ac:dyDescent="0.25">
      <c r="B3" t="s">
        <v>42</v>
      </c>
    </row>
    <row r="5" spans="2:9" x14ac:dyDescent="0.25">
      <c r="B5" t="s">
        <v>43</v>
      </c>
    </row>
    <row r="7" spans="2:9" x14ac:dyDescent="0.25">
      <c r="B7" t="s">
        <v>44</v>
      </c>
      <c r="G7" t="s">
        <v>54</v>
      </c>
      <c r="H7" s="22">
        <v>46</v>
      </c>
    </row>
    <row r="8" spans="2:9" x14ac:dyDescent="0.25">
      <c r="G8" t="s">
        <v>55</v>
      </c>
      <c r="H8" s="22">
        <v>760</v>
      </c>
      <c r="I8" t="s">
        <v>56</v>
      </c>
    </row>
    <row r="9" spans="2:9" x14ac:dyDescent="0.25">
      <c r="B9" t="s">
        <v>45</v>
      </c>
      <c r="G9" t="s">
        <v>57</v>
      </c>
      <c r="H9" s="22">
        <v>77</v>
      </c>
      <c r="I9" t="s">
        <v>58</v>
      </c>
    </row>
    <row r="10" spans="2:9" x14ac:dyDescent="0.25">
      <c r="G10" t="s">
        <v>57</v>
      </c>
      <c r="H10" s="25">
        <f xml:space="preserve"> ((H9-32)*5/9)+273</f>
        <v>298</v>
      </c>
      <c r="I10" t="s">
        <v>59</v>
      </c>
    </row>
    <row r="11" spans="2:9" x14ac:dyDescent="0.25">
      <c r="C11" t="s">
        <v>46</v>
      </c>
      <c r="G11" t="s">
        <v>60</v>
      </c>
      <c r="H11" s="23">
        <f>(H7^(2/3))*H8*1.1615*10^(-5)</f>
        <v>0.11332820956278891</v>
      </c>
    </row>
    <row r="12" spans="2:9" x14ac:dyDescent="0.25">
      <c r="C12" t="s">
        <v>47</v>
      </c>
      <c r="G12" t="s">
        <v>61</v>
      </c>
      <c r="H12" s="24">
        <f xml:space="preserve"> 2.631*(H7^(2/3))/H10</f>
        <v>0.1133469413188077</v>
      </c>
    </row>
    <row r="15" spans="2:9" x14ac:dyDescent="0.25">
      <c r="B15" t="s">
        <v>48</v>
      </c>
    </row>
    <row r="17" spans="2:4" x14ac:dyDescent="0.25">
      <c r="B17" t="s">
        <v>49</v>
      </c>
    </row>
    <row r="19" spans="2:4" x14ac:dyDescent="0.25">
      <c r="C19" t="s">
        <v>50</v>
      </c>
    </row>
    <row r="20" spans="2:4" x14ac:dyDescent="0.25">
      <c r="C20" t="s">
        <v>47</v>
      </c>
    </row>
    <row r="23" spans="2:4" x14ac:dyDescent="0.25">
      <c r="B23" t="s">
        <v>51</v>
      </c>
      <c r="D23" t="s">
        <v>63</v>
      </c>
    </row>
    <row r="25" spans="2:4" x14ac:dyDescent="0.25">
      <c r="B25" t="s">
        <v>52</v>
      </c>
    </row>
    <row r="27" spans="2:4" x14ac:dyDescent="0.25">
      <c r="C27" t="s">
        <v>53</v>
      </c>
    </row>
    <row r="28" spans="2:4" x14ac:dyDescent="0.25">
      <c r="C28" t="s">
        <v>64</v>
      </c>
    </row>
  </sheetData>
  <phoneticPr fontId="2" type="noConversion"/>
  <pageMargins left="0.75" right="0.75" top="1" bottom="1" header="0.5" footer="0.5"/>
  <pageSetup scale="97"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5"/>
  <sheetViews>
    <sheetView workbookViewId="0">
      <selection activeCell="B8" sqref="B8:B9"/>
    </sheetView>
  </sheetViews>
  <sheetFormatPr defaultRowHeight="13.2" x14ac:dyDescent="0.25"/>
  <sheetData>
    <row r="2" spans="2:4" x14ac:dyDescent="0.25">
      <c r="B2" t="s">
        <v>3</v>
      </c>
      <c r="D2" t="s">
        <v>14</v>
      </c>
    </row>
    <row r="3" spans="2:4" x14ac:dyDescent="0.25">
      <c r="B3" t="s">
        <v>4</v>
      </c>
      <c r="D3" t="s">
        <v>15</v>
      </c>
    </row>
    <row r="4" spans="2:4" x14ac:dyDescent="0.25">
      <c r="B4" t="s">
        <v>5</v>
      </c>
    </row>
    <row r="5" spans="2:4" x14ac:dyDescent="0.25">
      <c r="B5" t="s">
        <v>39</v>
      </c>
      <c r="D5" t="s">
        <v>17</v>
      </c>
    </row>
    <row r="6" spans="2:4" x14ac:dyDescent="0.25">
      <c r="D6" t="s">
        <v>20</v>
      </c>
    </row>
    <row r="7" spans="2:4" x14ac:dyDescent="0.25">
      <c r="D7" t="s">
        <v>18</v>
      </c>
    </row>
    <row r="8" spans="2:4" x14ac:dyDescent="0.25">
      <c r="B8" s="62" t="s">
        <v>4</v>
      </c>
    </row>
    <row r="9" spans="2:4" x14ac:dyDescent="0.25">
      <c r="B9" s="62" t="s">
        <v>39</v>
      </c>
      <c r="D9" t="s">
        <v>24</v>
      </c>
    </row>
    <row r="10" spans="2:4" x14ac:dyDescent="0.25">
      <c r="D10" t="s">
        <v>25</v>
      </c>
    </row>
    <row r="11" spans="2:4" x14ac:dyDescent="0.25">
      <c r="D11" t="s">
        <v>26</v>
      </c>
    </row>
    <row r="12" spans="2:4" x14ac:dyDescent="0.25">
      <c r="D12" t="s">
        <v>28</v>
      </c>
    </row>
    <row r="13" spans="2:4" x14ac:dyDescent="0.25">
      <c r="D13" t="s">
        <v>27</v>
      </c>
    </row>
    <row r="14" spans="2:4" x14ac:dyDescent="0.25">
      <c r="D14" t="s">
        <v>29</v>
      </c>
    </row>
    <row r="15" spans="2:4" x14ac:dyDescent="0.25">
      <c r="D15" t="s">
        <v>30</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Blank w calcs</vt:lpstr>
      <vt:lpstr>Mixtures</vt:lpstr>
      <vt:lpstr>LFA &amp; LFB</vt:lpstr>
      <vt:lpstr>Lists</vt:lpstr>
      <vt:lpstr>Buoy</vt:lpstr>
      <vt:lpstr>EndPtBasis</vt:lpstr>
      <vt:lpstr>Mixtures</vt:lpstr>
      <vt:lpstr>PFFBasis</vt:lpstr>
      <vt:lpstr>'Blank w calcs'!Print_Area</vt:lpstr>
      <vt:lpstr>'LFA &amp; LFB'!Print_Area</vt:lpstr>
      <vt:lpstr>type</vt:lpstr>
    </vt:vector>
  </TitlesOfParts>
  <Company>Capstone Engineering Sevices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Keefe</dc:creator>
  <cp:lastModifiedBy>John Keefe</cp:lastModifiedBy>
  <cp:lastPrinted>2012-06-22T22:01:04Z</cp:lastPrinted>
  <dcterms:created xsi:type="dcterms:W3CDTF">2002-10-18T15:46:27Z</dcterms:created>
  <dcterms:modified xsi:type="dcterms:W3CDTF">2023-08-18T15:57:18Z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-748034065</vt:i4>
  </property>
  <property fmtid="{D5CDD505-2E9C-101B-9397-08002B2CF9AE}" pid="3" name="_EmailSubject">
    <vt:lpwstr>Fluid Equations</vt:lpwstr>
  </property>
  <property fmtid="{D5CDD505-2E9C-101B-9397-08002B2CF9AE}" pid="4" name="_AuthorEmail">
    <vt:lpwstr>bweber@cap-eng.com</vt:lpwstr>
  </property>
  <property fmtid="{D5CDD505-2E9C-101B-9397-08002B2CF9AE}" pid="5" name="_AuthorEmailDisplayName">
    <vt:lpwstr>Bernie Weber</vt:lpwstr>
  </property>
  <property fmtid="{D5CDD505-2E9C-101B-9397-08002B2CF9AE}" pid="6" name="_ReviewingToolsShownOnce">
    <vt:lpwstr/>
  </property>
</Properties>
</file>